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U:\Gestion_Fichiers\4-PROJETS\PMO_REGENERATIS\0. GESTION DE PROJET\3. Execution et Surveillance\WP Communication\Outils\"/>
    </mc:Choice>
  </mc:AlternateContent>
  <xr:revisionPtr revIDLastSave="0" documentId="13_ncr:1_{A7DCDC63-1C89-446F-AE49-4F7B091C5B59}" xr6:coauthVersionLast="47" xr6:coauthVersionMax="47" xr10:uidLastSave="{00000000-0000-0000-0000-000000000000}"/>
  <bookViews>
    <workbookView xWindow="-108" yWindow="-108" windowWidth="23256" windowHeight="12456" activeTab="2" xr2:uid="{00000000-000D-0000-FFFF-FFFF00000000}"/>
  </bookViews>
  <sheets>
    <sheet name="Business Case" sheetId="1" r:id="rId1"/>
    <sheet name="summary" sheetId="8" r:id="rId2"/>
    <sheet name="Price List" sheetId="5" r:id="rId3"/>
    <sheet name="Data (masquer)" sheetId="6" state="hidden"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1" i="1" l="1"/>
  <c r="G28" i="1"/>
  <c r="J28" i="1"/>
  <c r="J44" i="1"/>
  <c r="G29" i="1"/>
  <c r="J29" i="1"/>
  <c r="J45" i="1"/>
  <c r="G30" i="1"/>
  <c r="J30" i="1"/>
  <c r="J46" i="1"/>
  <c r="G31" i="1"/>
  <c r="J31" i="1"/>
  <c r="J47" i="1"/>
  <c r="G32" i="1"/>
  <c r="J32" i="1"/>
  <c r="J48" i="1"/>
  <c r="G33" i="1"/>
  <c r="J33" i="1"/>
  <c r="J49" i="1"/>
  <c r="G34" i="1"/>
  <c r="J34" i="1"/>
  <c r="J50" i="1"/>
  <c r="G36" i="1"/>
  <c r="J36" i="1"/>
  <c r="J53" i="1"/>
  <c r="G37" i="1"/>
  <c r="J37" i="1"/>
  <c r="J54" i="1"/>
  <c r="G38" i="1"/>
  <c r="J38" i="1"/>
  <c r="J55" i="1"/>
  <c r="G39" i="1"/>
  <c r="J39" i="1"/>
  <c r="J56" i="1"/>
  <c r="G40" i="1"/>
  <c r="J40" i="1"/>
  <c r="J57" i="1"/>
  <c r="H60" i="1"/>
  <c r="J243" i="1"/>
  <c r="J244" i="1"/>
  <c r="I210" i="1"/>
  <c r="I246" i="1"/>
  <c r="J246" i="1"/>
  <c r="I211" i="1"/>
  <c r="I247" i="1"/>
  <c r="J247" i="1"/>
  <c r="J248" i="1"/>
  <c r="I207" i="1"/>
  <c r="J118" i="1"/>
  <c r="L118" i="1"/>
  <c r="J119" i="1"/>
  <c r="L119" i="1"/>
  <c r="J120" i="1"/>
  <c r="L120" i="1"/>
  <c r="J122" i="1"/>
  <c r="L122" i="1"/>
  <c r="J124" i="1"/>
  <c r="L124" i="1"/>
  <c r="J117" i="1"/>
  <c r="L117" i="1"/>
  <c r="J121" i="1"/>
  <c r="L121" i="1"/>
  <c r="J123" i="1"/>
  <c r="L123" i="1"/>
  <c r="J125" i="1"/>
  <c r="L125" i="1"/>
  <c r="L126" i="1"/>
  <c r="L144" i="1"/>
  <c r="J187" i="1"/>
  <c r="E94" i="1"/>
  <c r="B4" i="8"/>
  <c r="E75" i="1"/>
  <c r="B3" i="8"/>
  <c r="C118" i="1"/>
  <c r="N117" i="1"/>
  <c r="O117" i="1"/>
  <c r="M6" i="5"/>
  <c r="M7" i="5"/>
  <c r="M8" i="5"/>
  <c r="M9" i="5"/>
  <c r="M10" i="5"/>
  <c r="M11" i="5"/>
  <c r="M12" i="5"/>
  <c r="M13" i="5"/>
  <c r="M14" i="5"/>
  <c r="M15" i="5"/>
  <c r="M16" i="5"/>
  <c r="M17" i="5"/>
  <c r="M18" i="5"/>
  <c r="M19" i="5"/>
  <c r="M20" i="5"/>
  <c r="M21" i="5"/>
  <c r="N120" i="1"/>
  <c r="M22" i="5"/>
  <c r="M23" i="5"/>
  <c r="M24" i="5"/>
  <c r="M25" i="5"/>
  <c r="M26" i="5"/>
  <c r="M5" i="5"/>
  <c r="N118" i="1"/>
  <c r="N119" i="1"/>
  <c r="N121" i="1"/>
  <c r="N122" i="1"/>
  <c r="N123" i="1"/>
  <c r="O123" i="1"/>
  <c r="N124" i="1"/>
  <c r="O124" i="1"/>
  <c r="N125" i="1"/>
  <c r="O125" i="1"/>
  <c r="N126" i="1"/>
  <c r="O126" i="1"/>
  <c r="N127" i="1"/>
  <c r="O127" i="1"/>
  <c r="N128" i="1"/>
  <c r="O128" i="1"/>
  <c r="N129" i="1"/>
  <c r="O129" i="1"/>
  <c r="N130" i="1"/>
  <c r="O130" i="1"/>
  <c r="N131" i="1"/>
  <c r="O131" i="1"/>
  <c r="N132" i="1"/>
  <c r="O132" i="1"/>
  <c r="N133" i="1"/>
  <c r="O133" i="1"/>
  <c r="N134" i="1"/>
  <c r="O134" i="1"/>
  <c r="N135" i="1"/>
  <c r="O135" i="1"/>
  <c r="N136" i="1"/>
  <c r="O136" i="1"/>
  <c r="N137" i="1"/>
  <c r="O137" i="1"/>
  <c r="N138" i="1"/>
  <c r="O138" i="1"/>
  <c r="N139" i="1"/>
  <c r="O139" i="1"/>
  <c r="N140" i="1"/>
  <c r="O140" i="1"/>
  <c r="N141" i="1"/>
  <c r="O141" i="1"/>
  <c r="N142" i="1"/>
  <c r="O142" i="1"/>
  <c r="N143" i="1"/>
  <c r="O143" i="1"/>
  <c r="M133" i="1"/>
  <c r="M134" i="1"/>
  <c r="M135" i="1"/>
  <c r="M136" i="1"/>
  <c r="M137" i="1"/>
  <c r="M138" i="1"/>
  <c r="M139" i="1"/>
  <c r="M140" i="1"/>
  <c r="M141" i="1"/>
  <c r="M142" i="1"/>
  <c r="M143" i="1"/>
  <c r="M118" i="1"/>
  <c r="M119" i="1"/>
  <c r="M120" i="1"/>
  <c r="M121" i="1"/>
  <c r="M122" i="1"/>
  <c r="M123" i="1"/>
  <c r="M124" i="1"/>
  <c r="M125" i="1"/>
  <c r="M126" i="1"/>
  <c r="M127" i="1"/>
  <c r="M128" i="1"/>
  <c r="M129" i="1"/>
  <c r="M130" i="1"/>
  <c r="M131" i="1"/>
  <c r="M132" i="1"/>
  <c r="M117" i="1"/>
  <c r="O121" i="1"/>
  <c r="L22" i="5"/>
  <c r="L21" i="5"/>
  <c r="L20" i="5"/>
  <c r="L19" i="5"/>
  <c r="L5" i="5"/>
  <c r="L6" i="5"/>
  <c r="L7" i="5"/>
  <c r="L11" i="5"/>
  <c r="L10" i="5"/>
  <c r="L15" i="5"/>
  <c r="L17" i="5"/>
  <c r="L16" i="5"/>
  <c r="L13" i="5"/>
  <c r="L12" i="5"/>
  <c r="L9" i="5"/>
  <c r="L8" i="5"/>
  <c r="K209" i="1"/>
  <c r="K210" i="1"/>
  <c r="K211" i="1"/>
  <c r="K206" i="1"/>
  <c r="J211" i="1"/>
  <c r="J210" i="1"/>
  <c r="I209" i="1"/>
  <c r="J209" i="1"/>
  <c r="I208" i="1"/>
  <c r="I206" i="1"/>
  <c r="J206" i="1"/>
  <c r="B45" i="1"/>
  <c r="B46" i="1"/>
  <c r="B47" i="1"/>
  <c r="B48" i="1"/>
  <c r="B49" i="1"/>
  <c r="B50" i="1"/>
  <c r="B44" i="1"/>
  <c r="A3" i="8"/>
  <c r="C125" i="1"/>
  <c r="O120" i="1"/>
  <c r="O119" i="1"/>
  <c r="I231" i="1"/>
  <c r="I230" i="1"/>
  <c r="O122" i="1"/>
  <c r="J172" i="1"/>
  <c r="J173" i="1"/>
  <c r="J174" i="1"/>
  <c r="J171" i="1"/>
  <c r="J175" i="1"/>
  <c r="C119" i="1"/>
  <c r="G159" i="1"/>
  <c r="J159" i="1"/>
  <c r="H166" i="1"/>
  <c r="J165" i="1"/>
  <c r="H164" i="1"/>
  <c r="J163" i="1"/>
  <c r="O118" i="1"/>
  <c r="O144" i="1"/>
  <c r="J176" i="1"/>
  <c r="I20" i="5"/>
  <c r="I17" i="5"/>
  <c r="I19" i="5"/>
  <c r="I10" i="5"/>
  <c r="I15" i="5"/>
  <c r="I13" i="5"/>
  <c r="I12" i="5"/>
  <c r="I11" i="5"/>
  <c r="I16" i="5"/>
  <c r="G118" i="1"/>
  <c r="G119" i="1"/>
  <c r="G120" i="1"/>
  <c r="G121" i="1"/>
  <c r="G122" i="1"/>
  <c r="G123" i="1"/>
  <c r="G124" i="1"/>
  <c r="G125" i="1"/>
  <c r="G126" i="1"/>
  <c r="G127" i="1"/>
  <c r="G129" i="1"/>
  <c r="G130" i="1"/>
  <c r="G135" i="1"/>
  <c r="G140" i="1"/>
  <c r="G141" i="1"/>
  <c r="G142" i="1"/>
  <c r="G143" i="1"/>
  <c r="G117" i="1"/>
  <c r="K118" i="1"/>
  <c r="K119" i="1"/>
  <c r="K120" i="1"/>
  <c r="K121" i="1"/>
  <c r="K122" i="1"/>
  <c r="K123" i="1"/>
  <c r="K124" i="1"/>
  <c r="K125" i="1"/>
  <c r="K126" i="1"/>
  <c r="K127" i="1"/>
  <c r="K129" i="1"/>
  <c r="K130" i="1"/>
  <c r="K135" i="1"/>
  <c r="K140" i="1"/>
  <c r="K141" i="1"/>
  <c r="K142" i="1"/>
  <c r="K143" i="1"/>
  <c r="K117" i="1"/>
  <c r="J126" i="1"/>
  <c r="J127" i="1"/>
  <c r="J129" i="1"/>
  <c r="J130" i="1"/>
  <c r="J135" i="1"/>
  <c r="J140" i="1"/>
  <c r="J141" i="1"/>
  <c r="J142" i="1"/>
  <c r="J143" i="1"/>
  <c r="D118" i="1"/>
  <c r="D119" i="1"/>
  <c r="D120" i="1"/>
  <c r="D121" i="1"/>
  <c r="D122" i="1"/>
  <c r="D123" i="1"/>
  <c r="D124" i="1"/>
  <c r="D125" i="1"/>
  <c r="D126" i="1"/>
  <c r="D127" i="1"/>
  <c r="D129" i="1"/>
  <c r="D130" i="1"/>
  <c r="D135" i="1"/>
  <c r="D140" i="1"/>
  <c r="D141" i="1"/>
  <c r="D142" i="1"/>
  <c r="D143" i="1"/>
  <c r="D117" i="1"/>
  <c r="C121" i="1"/>
  <c r="C122" i="1"/>
  <c r="C123" i="1"/>
  <c r="C124" i="1"/>
  <c r="C126" i="1"/>
  <c r="C127" i="1"/>
  <c r="C129" i="1"/>
  <c r="C130" i="1"/>
  <c r="C135" i="1"/>
  <c r="C140" i="1"/>
  <c r="C141" i="1"/>
  <c r="C142" i="1"/>
  <c r="C143" i="1"/>
  <c r="I9" i="5"/>
  <c r="I8" i="5"/>
  <c r="I7" i="5"/>
  <c r="I6" i="5"/>
  <c r="I5" i="5"/>
  <c r="C117" i="1"/>
  <c r="L112" i="1"/>
  <c r="J183" i="1"/>
  <c r="J223" i="1"/>
  <c r="J231" i="1"/>
  <c r="J189" i="1"/>
  <c r="J222" i="1"/>
  <c r="J230" i="1"/>
  <c r="J218" i="1"/>
  <c r="I232" i="1"/>
  <c r="J232" i="1"/>
  <c r="J178" i="1"/>
  <c r="L127" i="1"/>
  <c r="L129" i="1"/>
  <c r="L130" i="1"/>
  <c r="L135" i="1"/>
  <c r="L140" i="1"/>
  <c r="L141" i="1"/>
  <c r="L142" i="1"/>
  <c r="L143" i="1"/>
  <c r="J153" i="1"/>
  <c r="J207" i="1"/>
  <c r="K207" i="1"/>
  <c r="J208" i="1"/>
  <c r="K208" i="1"/>
  <c r="J150" i="1"/>
  <c r="H181" i="1"/>
  <c r="E60" i="1"/>
  <c r="J233" i="1"/>
  <c r="E250" i="1"/>
  <c r="B6" i="8"/>
  <c r="J152" i="1"/>
  <c r="J151" i="1"/>
  <c r="K250" i="1"/>
  <c r="K212" i="1"/>
  <c r="J212" i="1"/>
  <c r="E200" i="1"/>
  <c r="B5" i="8"/>
  <c r="H75" i="1"/>
  <c r="B2" i="8"/>
  <c r="H94" i="1"/>
  <c r="H200" i="1"/>
  <c r="H250" i="1"/>
  <c r="B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LLO</author>
    <author>Sébastien</author>
  </authors>
  <commentList>
    <comment ref="B7" authorId="0" shapeId="0" xr:uid="{00000000-0006-0000-0000-000001000000}">
      <text>
        <r>
          <rPr>
            <sz val="9"/>
            <color indexed="81"/>
            <rFont val="Tahoma"/>
            <family val="2"/>
          </rPr>
          <t>Estimated duration of the project</t>
        </r>
      </text>
    </comment>
    <comment ref="B14" authorId="0" shapeId="0" xr:uid="{00000000-0006-0000-0000-000002000000}">
      <text>
        <r>
          <rPr>
            <b/>
            <sz val="9"/>
            <color indexed="81"/>
            <rFont val="Tahoma"/>
            <family val="2"/>
          </rPr>
          <t xml:space="preserve">Si jamais on a 2 densités, Quid ? Cas où une partie des terres doit être remis sur </t>
        </r>
      </text>
    </comment>
    <comment ref="B21" authorId="0" shapeId="0" xr:uid="{00000000-0006-0000-0000-000003000000}">
      <text>
        <r>
          <rPr>
            <sz val="9"/>
            <color indexed="81"/>
            <rFont val="Tahoma"/>
            <family val="2"/>
          </rPr>
          <t xml:space="preserve">The amount of off-site backfill to be brought onto the site to fill the excavation and offset the export of recoverable material. Depending on the project, it may be decided that the quantity to be backfilled is less than, equal to or even greater than the quantity excavated.
</t>
        </r>
      </text>
    </comment>
    <comment ref="E43" authorId="0" shapeId="0" xr:uid="{00000000-0006-0000-0000-000004000000}">
      <text>
        <r>
          <rPr>
            <sz val="9"/>
            <color indexed="81"/>
            <rFont val="Tahoma"/>
            <family val="2"/>
          </rPr>
          <t>losses in value due to loss of material after processing/manipulating/treating the material</t>
        </r>
      </text>
    </comment>
    <comment ref="J107" authorId="0" shapeId="0" xr:uid="{00000000-0006-0000-0000-000005000000}">
      <text>
        <r>
          <rPr>
            <sz val="9"/>
            <color indexed="81"/>
            <rFont val="Tahoma"/>
            <family val="2"/>
          </rPr>
          <t xml:space="preserve">backfilling of material coming from inside the site (internal excavated material or unused output from pre-treatment)
</t>
        </r>
      </text>
    </comment>
    <comment ref="J108" authorId="0" shapeId="0" xr:uid="{00000000-0006-0000-0000-000006000000}">
      <text>
        <r>
          <rPr>
            <sz val="9"/>
            <color indexed="81"/>
            <rFont val="Tahoma"/>
            <family val="2"/>
          </rPr>
          <t>backfilling of materials coming from outside the site (non-valuable materials) that have to be transported to the site to be backfilled</t>
        </r>
      </text>
    </comment>
    <comment ref="L116" authorId="0" shapeId="0" xr:uid="{00000000-0006-0000-0000-000007000000}">
      <text>
        <r>
          <rPr>
            <b/>
            <sz val="9"/>
            <color indexed="81"/>
            <rFont val="Tahoma"/>
            <family val="2"/>
          </rPr>
          <t>=cost per day x N days x N machines x allocation rate</t>
        </r>
      </text>
    </comment>
    <comment ref="J149" authorId="0" shapeId="0" xr:uid="{00000000-0006-0000-0000-000008000000}">
      <text>
        <r>
          <rPr>
            <sz val="9"/>
            <color indexed="81"/>
            <rFont val="Tahoma"/>
            <family val="2"/>
          </rPr>
          <t>(Max duration transformed in month +10%*Max duration)*€/month</t>
        </r>
        <r>
          <rPr>
            <b/>
            <sz val="9"/>
            <color indexed="81"/>
            <rFont val="Tahoma"/>
            <family val="2"/>
          </rPr>
          <t xml:space="preserve">
</t>
        </r>
      </text>
    </comment>
    <comment ref="B180" authorId="0" shapeId="0" xr:uid="{00000000-0006-0000-0000-000009000000}">
      <text>
        <r>
          <rPr>
            <sz val="9"/>
            <color indexed="81"/>
            <rFont val="Tahoma"/>
            <family val="2"/>
          </rPr>
          <t xml:space="preserve">It includes mobilisation/removal of both site facilities (office, lunch room, sanitary, weighbridge, ...) and dirt prevention / washing system
</t>
        </r>
      </text>
    </comment>
    <comment ref="B181" authorId="0" shapeId="0" xr:uid="{00000000-0006-0000-0000-00000A000000}">
      <text>
        <r>
          <rPr>
            <sz val="9"/>
            <color indexed="81"/>
            <rFont val="Tahoma"/>
            <family val="2"/>
          </rPr>
          <t>It includes renting of both site facilities (office, lunch room, sanitary, weighbridge, ...) and dirt prevention / washing system</t>
        </r>
        <r>
          <rPr>
            <sz val="9"/>
            <color indexed="81"/>
            <rFont val="Tahoma"/>
            <family val="2"/>
          </rPr>
          <t xml:space="preserve">
</t>
        </r>
      </text>
    </comment>
    <comment ref="F181" authorId="0" shapeId="0" xr:uid="{00000000-0006-0000-0000-00000B000000}">
      <text>
        <r>
          <rPr>
            <sz val="9"/>
            <color indexed="81"/>
            <rFont val="Tahoma"/>
            <family val="2"/>
          </rPr>
          <t>To help you estimate the duration of the rental of site facilities, you can refer to the table above (line 93 to 107)</t>
        </r>
        <r>
          <rPr>
            <b/>
            <sz val="9"/>
            <color indexed="81"/>
            <rFont val="Tahoma"/>
            <family val="2"/>
          </rPr>
          <t xml:space="preserve">
</t>
        </r>
        <r>
          <rPr>
            <sz val="9"/>
            <color indexed="81"/>
            <rFont val="Tahoma"/>
            <family val="2"/>
          </rPr>
          <t xml:space="preserve">
</t>
        </r>
      </text>
    </comment>
    <comment ref="B183" authorId="0" shapeId="0" xr:uid="{00000000-0006-0000-0000-00000C000000}">
      <text>
        <r>
          <rPr>
            <sz val="9"/>
            <color indexed="81"/>
            <rFont val="Tahoma"/>
            <family val="2"/>
          </rPr>
          <t xml:space="preserve">It only includes the rental and not the operation cost of the pre-treatment facility
</t>
        </r>
      </text>
    </comment>
    <comment ref="B187" authorId="0" shapeId="0" xr:uid="{00000000-0006-0000-0000-00000D000000}">
      <text>
        <r>
          <rPr>
            <sz val="9"/>
            <color indexed="81"/>
            <rFont val="Tahoma"/>
            <family val="2"/>
          </rPr>
          <t>include all earthworks operation (digging, backfilling, levelling,…)</t>
        </r>
      </text>
    </comment>
    <comment ref="B189" authorId="0" shapeId="0" xr:uid="{00000000-0006-0000-0000-00000E000000}">
      <text>
        <r>
          <rPr>
            <sz val="9"/>
            <color indexed="81"/>
            <rFont val="Tahoma"/>
            <family val="2"/>
          </rPr>
          <t>Only operation costs</t>
        </r>
      </text>
    </comment>
    <comment ref="M205" authorId="1" shapeId="0" xr:uid="{00000000-0006-0000-0000-00000F000000}">
      <text>
        <r>
          <rPr>
            <b/>
            <sz val="9"/>
            <color indexed="81"/>
            <rFont val="Tahoma"/>
            <family val="2"/>
          </rPr>
          <t>Sébastien:</t>
        </r>
        <r>
          <rPr>
            <sz val="9"/>
            <color indexed="81"/>
            <rFont val="Tahoma"/>
            <family val="2"/>
          </rPr>
          <t xml:space="preserve">
Ces coûts peuvent être pris en charge parl'acheteur des matériaux</t>
        </r>
      </text>
    </comment>
    <comment ref="B215" authorId="1" shapeId="0" xr:uid="{00000000-0006-0000-0000-000010000000}">
      <text>
        <r>
          <rPr>
            <b/>
            <sz val="9"/>
            <color indexed="81"/>
            <rFont val="Tahoma"/>
            <family val="2"/>
          </rPr>
          <t>Sébastien:</t>
        </r>
        <r>
          <rPr>
            <sz val="9"/>
            <color indexed="81"/>
            <rFont val="Tahoma"/>
            <family val="2"/>
          </rPr>
          <t xml:space="preserve">
Déjà compté dans la valeur des  matériaux</t>
        </r>
      </text>
    </comment>
    <comment ref="I229" authorId="0" shapeId="0" xr:uid="{00000000-0006-0000-0000-000011000000}">
      <text>
        <r>
          <rPr>
            <sz val="9"/>
            <color indexed="81"/>
            <rFont val="Tahoma"/>
            <family val="2"/>
          </rPr>
          <t xml:space="preserve">Per tonne, the calculation equals to (time of transportation *2 + (time of loading+unloading)* hourly transportation cost/ dump truck load
</t>
        </r>
      </text>
    </comment>
    <comment ref="I245" authorId="0" shapeId="0" xr:uid="{00000000-0006-0000-0000-000012000000}">
      <text>
        <r>
          <rPr>
            <sz val="9"/>
            <color indexed="81"/>
            <rFont val="Tahoma"/>
            <family val="2"/>
          </rPr>
          <t xml:space="preserve">Per tonne, the calculation equals to (time of transportation *2 + (time of loading+unloading)* hourly transportation cost/ dump truck load
</t>
        </r>
      </text>
    </comment>
  </commentList>
</comments>
</file>

<file path=xl/sharedStrings.xml><?xml version="1.0" encoding="utf-8"?>
<sst xmlns="http://schemas.openxmlformats.org/spreadsheetml/2006/main" count="396" uniqueCount="291">
  <si>
    <t>Site information</t>
  </si>
  <si>
    <t>Site name</t>
  </si>
  <si>
    <t>Location</t>
  </si>
  <si>
    <t>Start date</t>
  </si>
  <si>
    <t>End date</t>
  </si>
  <si>
    <t>Status of the urban mining project</t>
  </si>
  <si>
    <t>Deposit information</t>
  </si>
  <si>
    <t>Estimated value</t>
  </si>
  <si>
    <t xml:space="preserve">MMV gross </t>
  </si>
  <si>
    <t>TOTAL VALUE</t>
  </si>
  <si>
    <t>+</t>
  </si>
  <si>
    <r>
      <t>Backfill 2: ...</t>
    </r>
    <r>
      <rPr>
        <i/>
        <sz val="11"/>
        <color theme="1"/>
        <rFont val="Calibri"/>
        <family val="2"/>
        <scheme val="minor"/>
      </rPr>
      <t>name to be added</t>
    </r>
    <r>
      <rPr>
        <sz val="11"/>
        <color theme="1"/>
        <rFont val="Calibri"/>
        <family val="2"/>
        <scheme val="minor"/>
      </rPr>
      <t>…</t>
    </r>
  </si>
  <si>
    <r>
      <t>Backfill 3: ...</t>
    </r>
    <r>
      <rPr>
        <i/>
        <sz val="11"/>
        <color theme="1"/>
        <rFont val="Calibri"/>
        <family val="2"/>
        <scheme val="minor"/>
      </rPr>
      <t>name to be added</t>
    </r>
    <r>
      <rPr>
        <sz val="11"/>
        <color theme="1"/>
        <rFont val="Calibri"/>
        <family val="2"/>
        <scheme val="minor"/>
      </rPr>
      <t>…</t>
    </r>
  </si>
  <si>
    <r>
      <t>Backfill 4: ...</t>
    </r>
    <r>
      <rPr>
        <i/>
        <sz val="11"/>
        <color theme="1"/>
        <rFont val="Calibri"/>
        <family val="2"/>
        <scheme val="minor"/>
      </rPr>
      <t>name to be added</t>
    </r>
    <r>
      <rPr>
        <sz val="11"/>
        <color theme="1"/>
        <rFont val="Calibri"/>
        <family val="2"/>
        <scheme val="minor"/>
      </rPr>
      <t>…</t>
    </r>
  </si>
  <si>
    <r>
      <t>Backfill 5: ...</t>
    </r>
    <r>
      <rPr>
        <i/>
        <sz val="11"/>
        <color theme="1"/>
        <rFont val="Calibri"/>
        <family val="2"/>
        <scheme val="minor"/>
      </rPr>
      <t>name to be added</t>
    </r>
    <r>
      <rPr>
        <sz val="11"/>
        <color theme="1"/>
        <rFont val="Calibri"/>
        <family val="2"/>
        <scheme val="minor"/>
      </rPr>
      <t>…</t>
    </r>
  </si>
  <si>
    <t>Metal/mineral</t>
  </si>
  <si>
    <t>1)</t>
  </si>
  <si>
    <t>2)</t>
  </si>
  <si>
    <t>3)</t>
  </si>
  <si>
    <t>-</t>
  </si>
  <si>
    <t>Costs</t>
  </si>
  <si>
    <t>Historical studies (including site visit, staff cost, report, etc)</t>
  </si>
  <si>
    <t>Guided sampling, lab tests and pilot tests</t>
  </si>
  <si>
    <t>Ecocatalyst pilot tests</t>
  </si>
  <si>
    <t>Geophysical imaging (including preparation works (deforestation/ clearing, demolition, cost of the survey, etc)</t>
  </si>
  <si>
    <t>SUBTOTAL 1 (Estimated value - costs 1/)</t>
  </si>
  <si>
    <t>2/ PROJECT STUDIES</t>
  </si>
  <si>
    <t>all costs necessary to design the project, including additional survey costs</t>
  </si>
  <si>
    <r>
      <t>o</t>
    </r>
    <r>
      <rPr>
        <sz val="7"/>
        <color theme="1"/>
        <rFont val="Times New Roman"/>
        <family val="1"/>
      </rPr>
      <t xml:space="preserve">   </t>
    </r>
    <r>
      <rPr>
        <sz val="11"/>
        <color theme="1"/>
        <rFont val="Calibri"/>
        <family val="2"/>
        <scheme val="minor"/>
      </rPr>
      <t>Economic evaluation</t>
    </r>
  </si>
  <si>
    <r>
      <t>o</t>
    </r>
    <r>
      <rPr>
        <sz val="7"/>
        <color theme="1"/>
        <rFont val="Times New Roman"/>
        <family val="1"/>
      </rPr>
      <t xml:space="preserve">   </t>
    </r>
    <r>
      <rPr>
        <sz val="11"/>
        <color theme="1"/>
        <rFont val="Calibri"/>
        <family val="2"/>
        <scheme val="minor"/>
      </rPr>
      <t>Final site rehabilitation</t>
    </r>
  </si>
  <si>
    <r>
      <t>o</t>
    </r>
    <r>
      <rPr>
        <sz val="7"/>
        <color theme="1"/>
        <rFont val="Times New Roman"/>
        <family val="1"/>
      </rPr>
      <t xml:space="preserve">   </t>
    </r>
    <r>
      <rPr>
        <sz val="11"/>
        <color theme="1"/>
        <rFont val="Calibri"/>
        <family val="2"/>
        <scheme val="minor"/>
      </rPr>
      <t>Risk analysis</t>
    </r>
  </si>
  <si>
    <r>
      <t>o</t>
    </r>
    <r>
      <rPr>
        <sz val="7"/>
        <color theme="1"/>
        <rFont val="Times New Roman"/>
        <family val="1"/>
      </rPr>
      <t xml:space="preserve">   </t>
    </r>
    <r>
      <rPr>
        <sz val="11"/>
        <color theme="1"/>
        <rFont val="Calibri"/>
        <family val="2"/>
        <scheme val="minor"/>
      </rPr>
      <t>Health &amp; Safety</t>
    </r>
  </si>
  <si>
    <r>
      <t>o</t>
    </r>
    <r>
      <rPr>
        <sz val="7"/>
        <color theme="1"/>
        <rFont val="Times New Roman"/>
        <family val="1"/>
      </rPr>
      <t xml:space="preserve">   </t>
    </r>
    <r>
      <rPr>
        <sz val="11"/>
        <color theme="1"/>
        <rFont val="Calibri"/>
        <family val="2"/>
        <scheme val="minor"/>
      </rPr>
      <t>Environmental studies (including biodiversity)</t>
    </r>
  </si>
  <si>
    <r>
      <t>o</t>
    </r>
    <r>
      <rPr>
        <sz val="7"/>
        <color theme="1"/>
        <rFont val="Times New Roman"/>
        <family val="1"/>
      </rPr>
      <t xml:space="preserve">   </t>
    </r>
    <r>
      <rPr>
        <sz val="11"/>
        <color theme="1"/>
        <rFont val="Calibri"/>
        <family val="2"/>
        <scheme val="minor"/>
      </rPr>
      <t>Pre-processing design</t>
    </r>
  </si>
  <si>
    <r>
      <t>o</t>
    </r>
    <r>
      <rPr>
        <sz val="7"/>
        <color theme="1"/>
        <rFont val="Times New Roman"/>
        <family val="1"/>
      </rPr>
      <t xml:space="preserve">   </t>
    </r>
    <r>
      <rPr>
        <sz val="11"/>
        <color theme="1"/>
        <rFont val="Calibri"/>
        <family val="2"/>
        <scheme val="minor"/>
      </rPr>
      <t>Works design</t>
    </r>
  </si>
  <si>
    <t>Detailed design of the project:</t>
  </si>
  <si>
    <t>TOTAL 3 : (SUBTOTAL 2/ - cost 3/)</t>
  </si>
  <si>
    <t>SUBTOTAL 2 (SUBTOTAL 1/- costs 2/)</t>
  </si>
  <si>
    <t>Total value- MMV gross [€]</t>
  </si>
  <si>
    <t>4)</t>
  </si>
  <si>
    <t>5)</t>
  </si>
  <si>
    <t>Backfill</t>
  </si>
  <si>
    <t>Total volume to be excavated [m³]</t>
  </si>
  <si>
    <t>Geophysical imaging for precise deposit quantification for detailed design (2nd investigation)</t>
  </si>
  <si>
    <t>Bulk density [t/m³]</t>
  </si>
  <si>
    <t>Civil works management</t>
  </si>
  <si>
    <t>Follow-up costs (consultant)</t>
  </si>
  <si>
    <t>Ecocatalyst management</t>
  </si>
  <si>
    <t>Design: flow-sheet: Material flow, stockpile sizes and their management</t>
  </si>
  <si>
    <t>VALUABLE PARTS TRANSPORTATION</t>
  </si>
  <si>
    <t>WASTE TRANSPORTATION</t>
  </si>
  <si>
    <r>
      <t>o</t>
    </r>
    <r>
      <rPr>
        <sz val="7"/>
        <color theme="1"/>
        <rFont val="Times New Roman"/>
        <family val="1"/>
      </rPr>
      <t xml:space="preserve">   </t>
    </r>
    <r>
      <rPr>
        <sz val="11"/>
        <color theme="1"/>
        <rFont val="Calibri"/>
        <family val="2"/>
        <scheme val="minor"/>
      </rPr>
      <t xml:space="preserve">Non-hazardous waste </t>
    </r>
  </si>
  <si>
    <r>
      <t>o</t>
    </r>
    <r>
      <rPr>
        <sz val="7"/>
        <color theme="1"/>
        <rFont val="Times New Roman"/>
        <family val="1"/>
      </rPr>
      <t xml:space="preserve">   </t>
    </r>
    <r>
      <rPr>
        <sz val="11"/>
        <color theme="1"/>
        <rFont val="Calibri"/>
        <family val="2"/>
        <scheme val="minor"/>
      </rPr>
      <t>Non-hazardous waste</t>
    </r>
  </si>
  <si>
    <r>
      <t>o</t>
    </r>
    <r>
      <rPr>
        <sz val="11"/>
        <color theme="1"/>
        <rFont val="Calibri"/>
        <family val="2"/>
        <scheme val="minor"/>
      </rPr>
      <t>  Hazardous waste</t>
    </r>
  </si>
  <si>
    <r>
      <t>o</t>
    </r>
    <r>
      <rPr>
        <sz val="11"/>
        <color theme="1"/>
        <rFont val="Calibri"/>
        <family val="2"/>
        <scheme val="minor"/>
      </rPr>
      <t xml:space="preserve">  Hazardous waste </t>
    </r>
  </si>
  <si>
    <t>3/ WORKS COSTS ESTIMATION</t>
  </si>
  <si>
    <t xml:space="preserve">Guided sampling, lab tests and pilot test for detailed design </t>
  </si>
  <si>
    <t>Resource Distribution Model (cost of feasability study and detailed design)</t>
  </si>
  <si>
    <t>Surface area of deposit to be treated [m²]</t>
  </si>
  <si>
    <t>Expected duration of the recovery project</t>
  </si>
  <si>
    <t>Concentration [kg/t]</t>
  </si>
  <si>
    <t>MMV net (=MMV gross - losses*MMV gross)</t>
  </si>
  <si>
    <t>Losses [%]</t>
  </si>
  <si>
    <t>Management and supervision costs</t>
  </si>
  <si>
    <t>Preliminary works</t>
  </si>
  <si>
    <t>Access road construction (to the site)</t>
  </si>
  <si>
    <t>Access road construction (inside the site)</t>
  </si>
  <si>
    <t>Fences</t>
  </si>
  <si>
    <t>Length</t>
  </si>
  <si>
    <t>€/m²</t>
  </si>
  <si>
    <t>€/month</t>
  </si>
  <si>
    <t>Works</t>
  </si>
  <si>
    <t>Total volume to be preprocessed [m³]</t>
  </si>
  <si>
    <t>Quantity to be preprocessed [t]</t>
  </si>
  <si>
    <t>Quantity to be excavated [t]</t>
  </si>
  <si>
    <t>Civil engineering total workstation</t>
  </si>
  <si>
    <t>Special operations (geomembrane, geotextiles, etc.)</t>
  </si>
  <si>
    <t>Vegetation/ecological restoration</t>
  </si>
  <si>
    <t>Site restoration (cleaning, …)</t>
  </si>
  <si>
    <t>Other uses (solar panels, etc.)</t>
  </si>
  <si>
    <t>Post-works</t>
  </si>
  <si>
    <r>
      <t>o</t>
    </r>
    <r>
      <rPr>
        <sz val="7"/>
        <color theme="1"/>
        <rFont val="Times New Roman"/>
        <family val="1"/>
      </rPr>
      <t xml:space="preserve">   </t>
    </r>
    <r>
      <rPr>
        <sz val="11"/>
        <color theme="1"/>
        <rFont val="Calibri"/>
        <family val="2"/>
        <scheme val="minor"/>
      </rPr>
      <t>Containing metals</t>
    </r>
  </si>
  <si>
    <r>
      <t>o</t>
    </r>
    <r>
      <rPr>
        <sz val="11"/>
        <color theme="1"/>
        <rFont val="Calibri"/>
        <family val="2"/>
        <scheme val="minor"/>
      </rPr>
      <t>  Containing minerals</t>
    </r>
  </si>
  <si>
    <r>
      <t>o</t>
    </r>
    <r>
      <rPr>
        <sz val="7"/>
        <color theme="1"/>
        <rFont val="Times New Roman"/>
        <family val="1"/>
      </rPr>
      <t xml:space="preserve">   </t>
    </r>
    <r>
      <rPr>
        <sz val="11"/>
        <color theme="1"/>
        <rFont val="Calibri"/>
        <family val="2"/>
        <scheme val="minor"/>
      </rPr>
      <t>Highly concentrated biomass for ecocatalysts</t>
    </r>
  </si>
  <si>
    <t>1/ PRELIMINARY STUDIES AND WORKS</t>
  </si>
  <si>
    <t>Ecocatalyst development (follow up, harvest, seeding/planting)</t>
  </si>
  <si>
    <t>MMVnet [€]</t>
  </si>
  <si>
    <t xml:space="preserve">Site clearing (trees removal, waste removal,…) </t>
  </si>
  <si>
    <t>Demolition works (fixed prices)</t>
  </si>
  <si>
    <t>Width</t>
  </si>
  <si>
    <t>Road type</t>
  </si>
  <si>
    <t>Indicative price list</t>
  </si>
  <si>
    <t>Type</t>
  </si>
  <si>
    <t>Roads</t>
  </si>
  <si>
    <t>Barbwire</t>
  </si>
  <si>
    <t>Wood</t>
  </si>
  <si>
    <t>Dumper on tracks</t>
  </si>
  <si>
    <t>Dumper on wheels</t>
  </si>
  <si>
    <t>Bulldozer</t>
  </si>
  <si>
    <t>Loader</t>
  </si>
  <si>
    <t>Compactor</t>
  </si>
  <si>
    <t>Cost [€/m]</t>
  </si>
  <si>
    <t>Cost [€/m²]</t>
  </si>
  <si>
    <t>Cost [€]</t>
  </si>
  <si>
    <t>Hourly cost of transportation [€/h]</t>
  </si>
  <si>
    <t>Average load [t]</t>
  </si>
  <si>
    <t>Site facilities renting and use</t>
  </si>
  <si>
    <t>Abandonned (without protected area)</t>
  </si>
  <si>
    <t>Abandonned (with protected area)</t>
  </si>
  <si>
    <t>Being rehabilitated</t>
  </si>
  <si>
    <t>Activities still present (industry, use by poeple, etc)</t>
  </si>
  <si>
    <t xml:space="preserve">Non-recoverable quantity (=internal backfill) [t] </t>
  </si>
  <si>
    <t>External backfill [t]</t>
  </si>
  <si>
    <t>[€]</t>
  </si>
  <si>
    <t>Design your civil engineering workstation</t>
  </si>
  <si>
    <t>[t]</t>
  </si>
  <si>
    <t>[minutes]</t>
  </si>
  <si>
    <t>Journey time</t>
  </si>
  <si>
    <t xml:space="preserve">Quantities of valuable parts </t>
  </si>
  <si>
    <t xml:space="preserve">↓ Machines </t>
  </si>
  <si>
    <t>Time of loading + unloading [min]</t>
  </si>
  <si>
    <t>Unit</t>
  </si>
  <si>
    <t>Quantity</t>
  </si>
  <si>
    <t>TOTAL</t>
  </si>
  <si>
    <t>unit</t>
  </si>
  <si>
    <t>working day</t>
  </si>
  <si>
    <t>Hazardous waste</t>
  </si>
  <si>
    <t>not very dense</t>
  </si>
  <si>
    <t>[€/day]</t>
  </si>
  <si>
    <t>[€/month]</t>
  </si>
  <si>
    <t>Length needed [m]</t>
  </si>
  <si>
    <t>[€/m²]</t>
  </si>
  <si>
    <t>[€/m]</t>
  </si>
  <si>
    <t>[€/t]</t>
  </si>
  <si>
    <t xml:space="preserve"> </t>
  </si>
  <si>
    <t>site preparation</t>
  </si>
  <si>
    <t>access road to the site</t>
  </si>
  <si>
    <t>on-site roads</t>
  </si>
  <si>
    <t>work area facilities</t>
  </si>
  <si>
    <t>earthworks</t>
  </si>
  <si>
    <t>levelling</t>
  </si>
  <si>
    <t>planting</t>
  </si>
  <si>
    <t>reclamation</t>
  </si>
  <si>
    <t>Working capacity [t/day]</t>
  </si>
  <si>
    <t>Preparation</t>
  </si>
  <si>
    <t>Postworks</t>
  </si>
  <si>
    <t>Planned working days [day]</t>
  </si>
  <si>
    <t>Assignment</t>
  </si>
  <si>
    <t>number required</t>
  </si>
  <si>
    <t>internal backfilling</t>
  </si>
  <si>
    <t>external backfilling</t>
  </si>
  <si>
    <t>utilisation/ allocation rate [%]</t>
  </si>
  <si>
    <t>dense</t>
  </si>
  <si>
    <t>none</t>
  </si>
  <si>
    <t>Clearing (Trees)</t>
  </si>
  <si>
    <t>Piezometers</t>
  </si>
  <si>
    <t>Post works</t>
  </si>
  <si>
    <t>3,8</t>
  </si>
  <si>
    <t>topsoil</t>
  </si>
  <si>
    <t>replantation of native species</t>
  </si>
  <si>
    <t>Other</t>
  </si>
  <si>
    <t>Levelling (mapping)</t>
  </si>
  <si>
    <t>Metal</t>
  </si>
  <si>
    <t>Environmental monitoring (during and after works)</t>
  </si>
  <si>
    <t>Duration estimation</t>
  </si>
  <si>
    <t>…</t>
  </si>
  <si>
    <t>↓ Machinery</t>
  </si>
  <si>
    <t>concrete track</t>
  </si>
  <si>
    <t>asphalt track</t>
  </si>
  <si>
    <t>gravel track</t>
  </si>
  <si>
    <t>Civil engineering machinery</t>
  </si>
  <si>
    <t>3/ Works costs</t>
  </si>
  <si>
    <t>Groundwater monitoring</t>
  </si>
  <si>
    <t>[€/ m depth]</t>
  </si>
  <si>
    <t>[€] (per groundwater sample)</t>
  </si>
  <si>
    <t>Site facilities mobilisation/removal</t>
  </si>
  <si>
    <t>Minerals</t>
  </si>
  <si>
    <t>Biomass</t>
  </si>
  <si>
    <t>Non-hazardous waste</t>
  </si>
  <si>
    <t xml:space="preserve">Metals </t>
  </si>
  <si>
    <t>TOTAL COST transportation of valuable parts</t>
  </si>
  <si>
    <t xml:space="preserve">Transport of valuable parts </t>
  </si>
  <si>
    <t>Quantities of waste</t>
  </si>
  <si>
    <t>Transport of waste</t>
  </si>
  <si>
    <t>External backfilling</t>
  </si>
  <si>
    <t>EXTERNAL BACKFILLING IMPORTATION</t>
  </si>
  <si>
    <t>gravel</t>
  </si>
  <si>
    <t>natural</t>
  </si>
  <si>
    <t>watertighness</t>
  </si>
  <si>
    <t>rainwater collection and treatment</t>
  </si>
  <si>
    <t>concrete</t>
  </si>
  <si>
    <t>pre-treatment</t>
  </si>
  <si>
    <t>pre-treatment installation</t>
  </si>
  <si>
    <t>Special civil works (fixed costs) : demolitions, water management, pipes moving, etc</t>
  </si>
  <si>
    <t>Type of storage area</t>
  </si>
  <si>
    <t>Storage area for recoverable material</t>
  </si>
  <si>
    <t>Storage area for non-recoverable material (backfill)</t>
  </si>
  <si>
    <t>Storage area for non-hazardous waste</t>
  </si>
  <si>
    <t>Storage area for hazardous waste</t>
  </si>
  <si>
    <t>[m²]</t>
  </si>
  <si>
    <t xml:space="preserve">Material type for storage area </t>
  </si>
  <si>
    <t>Supply and laying price [€/m²]</t>
  </si>
  <si>
    <t>[€/m²] (25cm thickness)</t>
  </si>
  <si>
    <t>Material</t>
  </si>
  <si>
    <t xml:space="preserve"> Supply and laying price [€/m²]</t>
  </si>
  <si>
    <t xml:space="preserve">Pre-treatment management </t>
  </si>
  <si>
    <t>Transportation truck for</t>
  </si>
  <si>
    <t>4/ TRANSPORTATION COSTS</t>
  </si>
  <si>
    <t>TOTAL 4 : (SUBTOTAL 3/ - cost 4/)</t>
  </si>
  <si>
    <t>TOTAL COST /REVENUE for backfilling importation</t>
  </si>
  <si>
    <t>Pre-treatment operation</t>
  </si>
  <si>
    <r>
      <t>Pre-treatment installation (including mobilisation/remova</t>
    </r>
    <r>
      <rPr>
        <sz val="11"/>
        <rFont val="Calibri"/>
        <family val="2"/>
        <scheme val="minor"/>
      </rPr>
      <t>l and assembly</t>
    </r>
    <r>
      <rPr>
        <sz val="11"/>
        <color theme="1"/>
        <rFont val="Calibri"/>
        <family val="2"/>
        <scheme val="minor"/>
      </rPr>
      <t>)</t>
    </r>
  </si>
  <si>
    <t>Number of month</t>
  </si>
  <si>
    <t>Bobcat</t>
  </si>
  <si>
    <t>Daily cost [€/hours]</t>
  </si>
  <si>
    <t>Truck equipped with lifting gear</t>
  </si>
  <si>
    <t>€/day</t>
  </si>
  <si>
    <t>Excavator (7.5 to 10 T)</t>
  </si>
  <si>
    <t>Excavator (10 to 25 T)</t>
  </si>
  <si>
    <t>Excavator (25 to 35 T)</t>
  </si>
  <si>
    <t>Excavator (35 to 50 T)</t>
  </si>
  <si>
    <t>Excavator (&gt;50 T)</t>
  </si>
  <si>
    <t>Mobilization/demobilization Bull / Excavator</t>
  </si>
  <si>
    <t xml:space="preserve">Yield </t>
  </si>
  <si>
    <t>t/day</t>
  </si>
  <si>
    <t>m²/day</t>
  </si>
  <si>
    <t>t/travel</t>
  </si>
  <si>
    <t>Cost</t>
  </si>
  <si>
    <t>Yield</t>
  </si>
  <si>
    <t>Quantity unit</t>
  </si>
  <si>
    <t>Semi-trailer truck (articulated vehicle: tractor + semi)</t>
  </si>
  <si>
    <t>Agricultural tractor + tipper</t>
  </si>
  <si>
    <t>Sorting and screening of materials from the site</t>
  </si>
  <si>
    <t>€/m³</t>
  </si>
  <si>
    <t>m³/day</t>
  </si>
  <si>
    <t>m³</t>
  </si>
  <si>
    <t>Staff costs</t>
  </si>
  <si>
    <t>Cost [€/h]</t>
  </si>
  <si>
    <t>Crushing and screening</t>
  </si>
  <si>
    <t>?</t>
  </si>
  <si>
    <t>Maneuver</t>
  </si>
  <si>
    <t>Leader</t>
  </si>
  <si>
    <t>Foreman</t>
  </si>
  <si>
    <t>Skilled worker Q1</t>
  </si>
  <si>
    <t>Skilled worker Q2</t>
  </si>
  <si>
    <t>Geometer</t>
  </si>
  <si>
    <t>Density of threes</t>
  </si>
  <si>
    <t>quantity recoverable [t]</t>
  </si>
  <si>
    <t>geotextile</t>
  </si>
  <si>
    <t>Treatment facilities</t>
  </si>
  <si>
    <t>Quantity (t)</t>
  </si>
  <si>
    <t>Cost per ton [€/t]</t>
  </si>
  <si>
    <t>Elimination costs</t>
  </si>
  <si>
    <t>Value of the material [€/t]</t>
  </si>
  <si>
    <r>
      <t xml:space="preserve">Elimination/valorisation costs or revenues (€) </t>
    </r>
    <r>
      <rPr>
        <b/>
        <i/>
        <sz val="11"/>
        <color theme="1"/>
        <rFont val="Calibri"/>
        <family val="2"/>
        <scheme val="minor"/>
      </rPr>
      <t>(please indicate a negative value if it is a revenue)</t>
    </r>
  </si>
  <si>
    <t>Quantities of external backfilling [t]</t>
  </si>
  <si>
    <t>Total travel cost[€]</t>
  </si>
  <si>
    <t>Gross [€]</t>
  </si>
  <si>
    <t>Net [€]</t>
  </si>
  <si>
    <t>TOTAL COSTS [€]</t>
  </si>
  <si>
    <r>
      <t>o</t>
    </r>
    <r>
      <rPr>
        <sz val="7"/>
        <color theme="1"/>
        <rFont val="Times New Roman"/>
        <family val="1"/>
      </rPr>
      <t xml:space="preserve">   </t>
    </r>
    <r>
      <rPr>
        <sz val="11"/>
        <color theme="1"/>
        <rFont val="Calibri"/>
        <family val="2"/>
        <scheme val="minor"/>
      </rPr>
      <t>Ecocatalyst design</t>
    </r>
  </si>
  <si>
    <t>Surface  [m²]</t>
  </si>
  <si>
    <t>Transportation costs [€]</t>
  </si>
  <si>
    <t>Work costs [€]</t>
  </si>
  <si>
    <t>Project studies costs [€]</t>
  </si>
  <si>
    <t>Preliminary studies costs [€]</t>
  </si>
  <si>
    <r>
      <t xml:space="preserve">Additionnal importation costs or revenues [€/t] </t>
    </r>
    <r>
      <rPr>
        <i/>
        <sz val="11"/>
        <rFont val="Calibri"/>
        <family val="2"/>
        <scheme val="minor"/>
      </rPr>
      <t>(please indicate a negative value if it is a revenue!)</t>
    </r>
  </si>
  <si>
    <t>Valorisable quantity [t]</t>
  </si>
  <si>
    <t>Estimated value of matérials [€]</t>
  </si>
  <si>
    <t>Pre-treatment renting and maintenance (per month)</t>
  </si>
  <si>
    <t>Transportation cost [€/t] (If your organisation takes the transportation in charge)</t>
  </si>
  <si>
    <t>External backfill type V</t>
  </si>
  <si>
    <t>Feasibility study</t>
  </si>
  <si>
    <r>
      <t xml:space="preserve">1) </t>
    </r>
    <r>
      <rPr>
        <i/>
        <sz val="11"/>
        <color theme="1"/>
        <rFont val="Calibri"/>
        <family val="2"/>
        <scheme val="minor"/>
      </rPr>
      <t>Aggregate</t>
    </r>
    <r>
      <rPr>
        <sz val="11"/>
        <color theme="1"/>
        <rFont val="Calibri"/>
        <family val="2"/>
        <scheme val="minor"/>
      </rPr>
      <t xml:space="preserve"> 0/10 - fine screning route - valorisation for binder</t>
    </r>
  </si>
  <si>
    <r>
      <t xml:space="preserve">2) </t>
    </r>
    <r>
      <rPr>
        <i/>
        <sz val="11"/>
        <color theme="1"/>
        <rFont val="Calibri"/>
        <family val="2"/>
        <scheme val="minor"/>
      </rPr>
      <t>Aggregate 10/20</t>
    </r>
    <r>
      <rPr>
        <sz val="11"/>
        <color theme="1"/>
        <rFont val="Calibri"/>
        <family val="2"/>
        <scheme val="minor"/>
      </rPr>
      <t xml:space="preserve"> - middle - screning route -Subbase subgrade Embankment</t>
    </r>
  </si>
  <si>
    <r>
      <t xml:space="preserve">3) </t>
    </r>
    <r>
      <rPr>
        <i/>
        <sz val="11"/>
        <color theme="1"/>
        <rFont val="Calibri"/>
        <family val="2"/>
        <scheme val="minor"/>
      </rPr>
      <t>Aggregate 20/32</t>
    </r>
    <r>
      <rPr>
        <sz val="11"/>
        <color theme="1"/>
        <rFont val="Calibri"/>
        <family val="2"/>
        <scheme val="minor"/>
      </rPr>
      <t xml:space="preserve"> -middle - screning route -Subbase subgrade Embankment</t>
    </r>
  </si>
  <si>
    <r>
      <t xml:space="preserve">4) </t>
    </r>
    <r>
      <rPr>
        <i/>
        <sz val="11"/>
        <color theme="1"/>
        <rFont val="Calibri"/>
        <family val="2"/>
        <scheme val="minor"/>
      </rPr>
      <t>Aggregate 32/56</t>
    </r>
    <r>
      <rPr>
        <sz val="11"/>
        <color theme="1"/>
        <rFont val="Calibri"/>
        <family val="2"/>
        <scheme val="minor"/>
      </rPr>
      <t xml:space="preserve"> --&gt; 0-10 - grinding route - Soil stabilisation</t>
    </r>
  </si>
  <si>
    <t>5) Aggregate 32/56 --&gt; 10-20 - grinding route - Subbase subgrade Embankment</t>
  </si>
  <si>
    <t>6) Aggregate 32/56 --&gt; 20-32 - grinding route -Subbase subgrade Embankment</t>
  </si>
  <si>
    <r>
      <t xml:space="preserve">7) </t>
    </r>
    <r>
      <rPr>
        <i/>
        <sz val="11"/>
        <color theme="1"/>
        <rFont val="Calibri"/>
        <family val="2"/>
        <scheme val="minor"/>
      </rPr>
      <t xml:space="preserve"> Iron scraps</t>
    </r>
  </si>
  <si>
    <t>Green House Gas Emissions Fractor[Kg CO2e/unit]</t>
  </si>
  <si>
    <t>Green House Gas Emissions [tCO2e]</t>
  </si>
  <si>
    <t>Greenhouse gas emissions [tCO2e]</t>
  </si>
  <si>
    <t>Total</t>
  </si>
  <si>
    <t>Consumption [ l/unit]</t>
  </si>
  <si>
    <t>Greenhouse Gas emissions [kg CO2e/unit]</t>
  </si>
  <si>
    <t>Gasoil consumption [l/ unit]</t>
  </si>
  <si>
    <t>Environmental impact</t>
  </si>
  <si>
    <t>Distance - one way [km]</t>
  </si>
  <si>
    <t>Travel time [min] (one way)</t>
  </si>
  <si>
    <t>TOTAL COST transportation of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</si>
</sst>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
  </numFmts>
  <fonts count="2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sz val="11"/>
      <color rgb="FF00B050"/>
      <name val="Calibri"/>
      <family val="2"/>
      <scheme val="minor"/>
    </font>
    <font>
      <b/>
      <i/>
      <sz val="11"/>
      <color theme="0"/>
      <name val="Calibri"/>
      <family val="2"/>
      <scheme val="minor"/>
    </font>
    <font>
      <sz val="11"/>
      <color theme="1"/>
      <name val="Courier New"/>
      <family val="3"/>
    </font>
    <font>
      <sz val="7"/>
      <color theme="1"/>
      <name val="Times New Roman"/>
      <family val="1"/>
    </font>
    <font>
      <sz val="9"/>
      <color indexed="81"/>
      <name val="Tahoma"/>
      <family val="2"/>
    </font>
    <font>
      <b/>
      <sz val="9"/>
      <color indexed="81"/>
      <name val="Tahoma"/>
      <family val="2"/>
    </font>
    <font>
      <b/>
      <sz val="11"/>
      <color theme="0"/>
      <name val="Calibri Light"/>
      <family val="2"/>
      <scheme val="major"/>
    </font>
    <font>
      <sz val="11"/>
      <color theme="1"/>
      <name val="Calibri"/>
      <family val="2"/>
      <scheme val="minor"/>
    </font>
    <font>
      <sz val="11"/>
      <color rgb="FFFF0000"/>
      <name val="Calibri"/>
      <family val="2"/>
      <scheme val="minor"/>
    </font>
    <font>
      <sz val="8"/>
      <name val="Calibri"/>
      <family val="2"/>
      <scheme val="minor"/>
    </font>
    <font>
      <b/>
      <sz val="18"/>
      <color theme="4"/>
      <name val="Segoe UI"/>
      <family val="2"/>
    </font>
    <font>
      <b/>
      <i/>
      <sz val="11"/>
      <color theme="1"/>
      <name val="Calibri"/>
      <family val="2"/>
      <scheme val="minor"/>
    </font>
    <font>
      <sz val="11"/>
      <color rgb="FF000000"/>
      <name val="Calibri"/>
      <family val="2"/>
    </font>
    <font>
      <b/>
      <sz val="12"/>
      <color theme="0"/>
      <name val="Open sans"/>
      <family val="2"/>
    </font>
    <font>
      <sz val="10"/>
      <color rgb="FF374151"/>
      <name val="Segoe UI"/>
      <family val="2"/>
    </font>
    <font>
      <u/>
      <sz val="11"/>
      <color theme="10"/>
      <name val="Calibri"/>
      <family val="2"/>
      <scheme val="minor"/>
    </font>
    <font>
      <i/>
      <sz val="11"/>
      <name val="Calibri"/>
      <family val="2"/>
      <scheme val="minor"/>
    </font>
    <font>
      <b/>
      <sz val="11"/>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9"/>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theme="6" tint="0.79998168889431442"/>
        <bgColor indexed="64"/>
      </patternFill>
    </fill>
    <fill>
      <patternFill patternType="solid">
        <fgColor theme="7" tint="0.79998168889431442"/>
        <bgColor indexed="64"/>
      </patternFill>
    </fill>
  </fills>
  <borders count="6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s>
  <cellStyleXfs count="5">
    <xf numFmtId="0" fontId="0" fillId="0" borderId="0"/>
    <xf numFmtId="9" fontId="13" fillId="0" borderId="0" applyFont="0" applyFill="0" applyBorder="0" applyAlignment="0" applyProtection="0"/>
    <xf numFmtId="0" fontId="18" fillId="0" borderId="0"/>
    <xf numFmtId="164" fontId="13" fillId="0" borderId="0" applyFont="0" applyFill="0" applyBorder="0" applyAlignment="0" applyProtection="0"/>
    <xf numFmtId="0" fontId="21" fillId="0" borderId="0" applyNumberFormat="0" applyFill="0" applyBorder="0" applyAlignment="0" applyProtection="0"/>
  </cellStyleXfs>
  <cellXfs count="301">
    <xf numFmtId="0" fontId="0" fillId="0" borderId="0" xfId="0"/>
    <xf numFmtId="49" fontId="2" fillId="2" borderId="3" xfId="0" applyNumberFormat="1" applyFont="1" applyFill="1" applyBorder="1" applyAlignment="1">
      <alignment vertical="center"/>
    </xf>
    <xf numFmtId="49" fontId="2" fillId="2" borderId="5" xfId="0" applyNumberFormat="1" applyFont="1" applyFill="1" applyBorder="1" applyAlignment="1">
      <alignment vertical="center"/>
    </xf>
    <xf numFmtId="4" fontId="0" fillId="3" borderId="7" xfId="0" applyNumberFormat="1" applyFill="1" applyBorder="1" applyAlignment="1">
      <alignment horizontal="right" vertical="center"/>
    </xf>
    <xf numFmtId="4" fontId="0" fillId="3" borderId="7" xfId="0" applyNumberFormat="1" applyFill="1" applyBorder="1" applyAlignment="1">
      <alignment horizontal="right" vertical="center" wrapText="1"/>
    </xf>
    <xf numFmtId="4" fontId="0" fillId="3" borderId="7" xfId="0" applyNumberFormat="1" applyFill="1" applyBorder="1" applyAlignment="1">
      <alignment horizontal="left" vertical="center"/>
    </xf>
    <xf numFmtId="49" fontId="2" fillId="2" borderId="9" xfId="0" applyNumberFormat="1" applyFont="1" applyFill="1" applyBorder="1" applyAlignment="1">
      <alignment vertical="center"/>
    </xf>
    <xf numFmtId="49" fontId="2" fillId="2" borderId="6" xfId="0" applyNumberFormat="1" applyFont="1" applyFill="1" applyBorder="1" applyAlignment="1">
      <alignment vertical="center"/>
    </xf>
    <xf numFmtId="4" fontId="2" fillId="4" borderId="11" xfId="0" applyNumberFormat="1" applyFont="1" applyFill="1" applyBorder="1" applyAlignment="1">
      <alignment horizontal="left" vertical="center"/>
    </xf>
    <xf numFmtId="4" fontId="2" fillId="2" borderId="0" xfId="0" applyNumberFormat="1" applyFont="1" applyFill="1" applyAlignment="1">
      <alignment horizontal="left" vertical="center"/>
    </xf>
    <xf numFmtId="49" fontId="1" fillId="4" borderId="10" xfId="0" applyNumberFormat="1" applyFont="1" applyFill="1" applyBorder="1" applyAlignment="1">
      <alignment vertical="center"/>
    </xf>
    <xf numFmtId="49" fontId="0" fillId="2" borderId="3" xfId="0" applyNumberFormat="1" applyFill="1" applyBorder="1" applyAlignment="1">
      <alignment vertical="center"/>
    </xf>
    <xf numFmtId="0" fontId="0" fillId="2" borderId="3" xfId="0" applyFill="1" applyBorder="1" applyAlignment="1">
      <alignment vertical="center"/>
    </xf>
    <xf numFmtId="0" fontId="0" fillId="3" borderId="0" xfId="0" applyFill="1"/>
    <xf numFmtId="0" fontId="0" fillId="3" borderId="2" xfId="0" applyFill="1" applyBorder="1"/>
    <xf numFmtId="0" fontId="0" fillId="3" borderId="7" xfId="0" applyFill="1" applyBorder="1"/>
    <xf numFmtId="49" fontId="2" fillId="2" borderId="0" xfId="0" applyNumberFormat="1" applyFont="1" applyFill="1" applyAlignment="1">
      <alignment vertical="center"/>
    </xf>
    <xf numFmtId="0" fontId="5" fillId="11" borderId="3" xfId="0" applyFont="1" applyFill="1" applyBorder="1" applyAlignment="1">
      <alignment vertical="center"/>
    </xf>
    <xf numFmtId="0" fontId="0" fillId="11" borderId="3" xfId="0" applyFill="1" applyBorder="1" applyAlignment="1">
      <alignment vertical="center"/>
    </xf>
    <xf numFmtId="0" fontId="0" fillId="11" borderId="3" xfId="0" applyFill="1" applyBorder="1" applyAlignment="1">
      <alignment horizontal="left" vertical="center"/>
    </xf>
    <xf numFmtId="0" fontId="0" fillId="12" borderId="3" xfId="0" applyFill="1" applyBorder="1" applyAlignment="1">
      <alignment vertical="center"/>
    </xf>
    <xf numFmtId="0" fontId="0" fillId="12" borderId="0" xfId="0" applyFill="1" applyAlignment="1">
      <alignment vertical="center"/>
    </xf>
    <xf numFmtId="0" fontId="0" fillId="7" borderId="0" xfId="0" applyFill="1" applyAlignment="1">
      <alignment vertical="center"/>
    </xf>
    <xf numFmtId="49" fontId="0" fillId="3" borderId="0" xfId="0" applyNumberFormat="1" applyFill="1"/>
    <xf numFmtId="0" fontId="0" fillId="11" borderId="1" xfId="0" applyFill="1" applyBorder="1" applyAlignment="1">
      <alignment vertical="center"/>
    </xf>
    <xf numFmtId="0" fontId="0" fillId="11" borderId="5" xfId="0" applyFill="1" applyBorder="1" applyAlignment="1">
      <alignment vertical="center"/>
    </xf>
    <xf numFmtId="0" fontId="0" fillId="11" borderId="3" xfId="0" applyFill="1" applyBorder="1" applyAlignment="1">
      <alignment vertical="center" wrapText="1"/>
    </xf>
    <xf numFmtId="0" fontId="16" fillId="0" borderId="0" xfId="0" applyFont="1"/>
    <xf numFmtId="0" fontId="0" fillId="4" borderId="8" xfId="0" applyFill="1" applyBorder="1" applyAlignment="1">
      <alignment vertical="center"/>
    </xf>
    <xf numFmtId="0" fontId="0" fillId="0" borderId="0" xfId="0" applyAlignment="1">
      <alignment vertical="center"/>
    </xf>
    <xf numFmtId="0" fontId="0" fillId="2" borderId="4" xfId="0" applyFill="1" applyBorder="1" applyAlignment="1">
      <alignment vertical="center"/>
    </xf>
    <xf numFmtId="0" fontId="0" fillId="3" borderId="0" xfId="0" applyFill="1" applyAlignment="1">
      <alignment vertical="center"/>
    </xf>
    <xf numFmtId="0" fontId="1" fillId="5" borderId="0" xfId="0" applyFont="1" applyFill="1" applyAlignment="1">
      <alignment vertical="center"/>
    </xf>
    <xf numFmtId="49" fontId="3" fillId="6" borderId="0" xfId="0" applyNumberFormat="1" applyFont="1" applyFill="1" applyAlignment="1">
      <alignment vertical="center"/>
    </xf>
    <xf numFmtId="0" fontId="3" fillId="6" borderId="0" xfId="0" applyFont="1" applyFill="1" applyAlignment="1">
      <alignment vertical="center"/>
    </xf>
    <xf numFmtId="0" fontId="0" fillId="6" borderId="0" xfId="0" applyFill="1" applyAlignment="1">
      <alignment vertical="center"/>
    </xf>
    <xf numFmtId="49" fontId="0" fillId="7" borderId="0" xfId="0" applyNumberFormat="1" applyFill="1" applyAlignment="1">
      <alignment vertical="center"/>
    </xf>
    <xf numFmtId="0" fontId="3" fillId="7" borderId="0" xfId="0" applyFont="1" applyFill="1" applyAlignment="1">
      <alignment vertical="center"/>
    </xf>
    <xf numFmtId="0" fontId="5" fillId="7" borderId="0" xfId="0" applyFont="1" applyFill="1" applyAlignment="1">
      <alignment horizontal="center" vertical="center" wrapText="1"/>
    </xf>
    <xf numFmtId="0" fontId="0" fillId="7" borderId="0" xfId="0" applyFill="1" applyAlignment="1">
      <alignment horizontal="center" vertical="center" wrapText="1"/>
    </xf>
    <xf numFmtId="0" fontId="5" fillId="3" borderId="7" xfId="0" applyFont="1" applyFill="1" applyBorder="1" applyAlignment="1">
      <alignment vertical="center"/>
    </xf>
    <xf numFmtId="0" fontId="5" fillId="7" borderId="0" xfId="0" applyFont="1" applyFill="1" applyAlignment="1">
      <alignment horizontal="center" vertical="center"/>
    </xf>
    <xf numFmtId="9" fontId="5" fillId="3" borderId="7" xfId="1" applyFont="1" applyFill="1" applyBorder="1" applyAlignment="1">
      <alignment vertical="center"/>
    </xf>
    <xf numFmtId="0" fontId="5" fillId="7" borderId="0" xfId="0" applyFont="1" applyFill="1" applyAlignment="1">
      <alignment vertical="center"/>
    </xf>
    <xf numFmtId="49" fontId="0" fillId="3" borderId="1" xfId="0" applyNumberFormat="1" applyFill="1" applyBorder="1" applyAlignment="1">
      <alignment vertical="center"/>
    </xf>
    <xf numFmtId="0" fontId="0" fillId="3" borderId="12" xfId="0" applyFill="1" applyBorder="1" applyAlignment="1">
      <alignment vertical="center"/>
    </xf>
    <xf numFmtId="0" fontId="5" fillId="3" borderId="12" xfId="0" applyFont="1" applyFill="1" applyBorder="1" applyAlignment="1">
      <alignment vertical="center"/>
    </xf>
    <xf numFmtId="0" fontId="0" fillId="3" borderId="2" xfId="0" applyFill="1" applyBorder="1" applyAlignment="1">
      <alignment vertical="center"/>
    </xf>
    <xf numFmtId="49" fontId="0" fillId="3" borderId="3" xfId="0" applyNumberFormat="1" applyFill="1" applyBorder="1" applyAlignment="1">
      <alignment vertical="center"/>
    </xf>
    <xf numFmtId="0" fontId="0" fillId="3" borderId="7" xfId="0" applyFill="1" applyBorder="1" applyAlignment="1">
      <alignment vertical="center"/>
    </xf>
    <xf numFmtId="0" fontId="0" fillId="3" borderId="4" xfId="0" applyFill="1"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1" fillId="10" borderId="3" xfId="0" applyFont="1" applyFill="1" applyBorder="1" applyAlignment="1">
      <alignment vertical="center"/>
    </xf>
    <xf numFmtId="0" fontId="1" fillId="10" borderId="0" xfId="0" applyFont="1" applyFill="1" applyAlignment="1">
      <alignment vertical="center"/>
    </xf>
    <xf numFmtId="0" fontId="1" fillId="10" borderId="4" xfId="0" applyFont="1" applyFill="1" applyBorder="1" applyAlignment="1">
      <alignment vertical="center"/>
    </xf>
    <xf numFmtId="49" fontId="7" fillId="10" borderId="3" xfId="0" applyNumberFormat="1" applyFont="1" applyFill="1" applyBorder="1" applyAlignment="1">
      <alignment vertical="center"/>
    </xf>
    <xf numFmtId="0" fontId="3" fillId="10" borderId="0" xfId="0" applyFont="1" applyFill="1" applyAlignment="1">
      <alignment vertical="center"/>
    </xf>
    <xf numFmtId="0" fontId="3" fillId="10" borderId="4" xfId="0" applyFont="1" applyFill="1" applyBorder="1" applyAlignment="1">
      <alignment vertical="center"/>
    </xf>
    <xf numFmtId="49" fontId="0" fillId="11" borderId="3" xfId="0" applyNumberFormat="1" applyFill="1" applyBorder="1" applyAlignment="1">
      <alignment vertical="center"/>
    </xf>
    <xf numFmtId="0" fontId="0" fillId="11" borderId="0" xfId="0" applyFill="1" applyAlignment="1">
      <alignment vertical="center"/>
    </xf>
    <xf numFmtId="0" fontId="0" fillId="11" borderId="4" xfId="0" applyFill="1" applyBorder="1" applyAlignment="1">
      <alignment vertical="center"/>
    </xf>
    <xf numFmtId="0" fontId="0" fillId="0" borderId="7" xfId="0" applyBorder="1" applyAlignment="1">
      <alignment vertical="center"/>
    </xf>
    <xf numFmtId="0" fontId="0" fillId="3" borderId="1" xfId="0" applyFill="1" applyBorder="1" applyAlignment="1">
      <alignment vertical="center"/>
    </xf>
    <xf numFmtId="0" fontId="0" fillId="3" borderId="3" xfId="0" applyFill="1" applyBorder="1" applyAlignment="1">
      <alignment vertical="center"/>
    </xf>
    <xf numFmtId="0" fontId="0" fillId="3" borderId="5" xfId="0" applyFill="1" applyBorder="1" applyAlignment="1">
      <alignment vertical="center"/>
    </xf>
    <xf numFmtId="0" fontId="0" fillId="3" borderId="9" xfId="0" applyFill="1" applyBorder="1" applyAlignment="1">
      <alignment vertical="center"/>
    </xf>
    <xf numFmtId="0" fontId="0" fillId="3" borderId="6" xfId="0" applyFill="1" applyBorder="1" applyAlignment="1">
      <alignment vertical="center"/>
    </xf>
    <xf numFmtId="0" fontId="1" fillId="10" borderId="1" xfId="0" applyFont="1" applyFill="1" applyBorder="1" applyAlignment="1">
      <alignment vertical="center"/>
    </xf>
    <xf numFmtId="0" fontId="1" fillId="10" borderId="12" xfId="0" applyFont="1" applyFill="1" applyBorder="1" applyAlignment="1">
      <alignment vertical="center"/>
    </xf>
    <xf numFmtId="0" fontId="1" fillId="10" borderId="2" xfId="0" applyFont="1" applyFill="1" applyBorder="1" applyAlignment="1">
      <alignment vertical="center"/>
    </xf>
    <xf numFmtId="0" fontId="8" fillId="11" borderId="3" xfId="0" applyFont="1" applyFill="1" applyBorder="1" applyAlignment="1">
      <alignment horizontal="left" vertical="center"/>
    </xf>
    <xf numFmtId="0" fontId="8" fillId="11" borderId="5" xfId="0" applyFont="1" applyFill="1" applyBorder="1" applyAlignment="1">
      <alignment horizontal="left" vertical="center"/>
    </xf>
    <xf numFmtId="0" fontId="0" fillId="11" borderId="9" xfId="0" applyFill="1" applyBorder="1" applyAlignment="1">
      <alignment vertical="center"/>
    </xf>
    <xf numFmtId="0" fontId="0" fillId="11" borderId="6" xfId="0" applyFill="1" applyBorder="1" applyAlignment="1">
      <alignment vertical="center"/>
    </xf>
    <xf numFmtId="49" fontId="0" fillId="3" borderId="0" xfId="0" applyNumberFormat="1" applyFill="1" applyAlignment="1">
      <alignment vertical="center"/>
    </xf>
    <xf numFmtId="49" fontId="1" fillId="10" borderId="3" xfId="0" applyNumberFormat="1" applyFont="1" applyFill="1" applyBorder="1" applyAlignment="1">
      <alignment vertical="center"/>
    </xf>
    <xf numFmtId="49" fontId="0" fillId="12" borderId="3" xfId="0" applyNumberFormat="1" applyFill="1" applyBorder="1" applyAlignment="1">
      <alignment vertical="center"/>
    </xf>
    <xf numFmtId="0" fontId="0" fillId="12" borderId="4" xfId="0" applyFill="1" applyBorder="1" applyAlignment="1">
      <alignment vertical="center"/>
    </xf>
    <xf numFmtId="0" fontId="0" fillId="11" borderId="0" xfId="0" applyFill="1" applyAlignment="1">
      <alignment horizontal="right" vertical="center"/>
    </xf>
    <xf numFmtId="0" fontId="0" fillId="11" borderId="12" xfId="0" applyFill="1" applyBorder="1" applyAlignment="1">
      <alignment vertical="center"/>
    </xf>
    <xf numFmtId="0" fontId="5" fillId="11" borderId="0" xfId="0" applyFont="1" applyFill="1" applyAlignment="1">
      <alignment horizontal="right" vertical="center"/>
    </xf>
    <xf numFmtId="0" fontId="14" fillId="3" borderId="0" xfId="0" applyFont="1" applyFill="1" applyAlignment="1">
      <alignment vertical="center"/>
    </xf>
    <xf numFmtId="0" fontId="0" fillId="0" borderId="7" xfId="0" applyBorder="1"/>
    <xf numFmtId="0" fontId="0" fillId="0" borderId="0" xfId="0" applyAlignment="1">
      <alignment horizontal="right"/>
    </xf>
    <xf numFmtId="49" fontId="0" fillId="14" borderId="18" xfId="0" applyNumberFormat="1" applyFill="1" applyBorder="1" applyAlignment="1">
      <alignment vertical="center"/>
    </xf>
    <xf numFmtId="0" fontId="0" fillId="14" borderId="0" xfId="0" applyFill="1" applyAlignment="1">
      <alignment vertical="center"/>
    </xf>
    <xf numFmtId="0" fontId="0" fillId="14" borderId="0" xfId="0" applyFill="1"/>
    <xf numFmtId="0" fontId="0" fillId="2" borderId="32" xfId="0" applyFill="1" applyBorder="1" applyAlignment="1">
      <alignment wrapText="1"/>
    </xf>
    <xf numFmtId="0" fontId="0" fillId="2" borderId="22" xfId="0" applyFill="1" applyBorder="1" applyAlignment="1">
      <alignment wrapText="1"/>
    </xf>
    <xf numFmtId="0" fontId="0" fillId="2" borderId="34" xfId="0" applyFill="1" applyBorder="1" applyAlignment="1">
      <alignment wrapText="1"/>
    </xf>
    <xf numFmtId="0" fontId="0" fillId="3" borderId="35" xfId="0" applyFill="1" applyBorder="1" applyAlignment="1">
      <alignment vertical="center"/>
    </xf>
    <xf numFmtId="0" fontId="2" fillId="3" borderId="36" xfId="0" applyFont="1" applyFill="1" applyBorder="1"/>
    <xf numFmtId="0" fontId="1" fillId="16" borderId="18" xfId="0" applyFont="1" applyFill="1" applyBorder="1" applyAlignment="1">
      <alignment horizontal="center" vertical="center"/>
    </xf>
    <xf numFmtId="0" fontId="1" fillId="16" borderId="0" xfId="0" applyFont="1" applyFill="1" applyAlignment="1">
      <alignment horizontal="center" vertical="center"/>
    </xf>
    <xf numFmtId="0" fontId="0" fillId="16" borderId="0" xfId="0" applyFill="1" applyAlignment="1">
      <alignment vertical="center"/>
    </xf>
    <xf numFmtId="49" fontId="0" fillId="16" borderId="0" xfId="0" applyNumberFormat="1" applyFill="1" applyAlignment="1">
      <alignment vertical="center"/>
    </xf>
    <xf numFmtId="0" fontId="0" fillId="3" borderId="37" xfId="0" applyFill="1" applyBorder="1" applyAlignment="1">
      <alignment vertical="center"/>
    </xf>
    <xf numFmtId="0" fontId="0" fillId="2" borderId="7" xfId="0" applyFill="1" applyBorder="1" applyAlignment="1">
      <alignment horizontal="center" vertical="center" wrapText="1"/>
    </xf>
    <xf numFmtId="0" fontId="0" fillId="3" borderId="8" xfId="0" applyFill="1" applyBorder="1"/>
    <xf numFmtId="0" fontId="3" fillId="3" borderId="0" xfId="0" applyFont="1" applyFill="1"/>
    <xf numFmtId="0" fontId="0" fillId="3" borderId="0" xfId="0" applyFill="1" applyAlignment="1">
      <alignment wrapText="1"/>
    </xf>
    <xf numFmtId="0" fontId="3" fillId="4" borderId="3" xfId="0" applyFont="1" applyFill="1" applyBorder="1"/>
    <xf numFmtId="0" fontId="0" fillId="18" borderId="18" xfId="0" applyFill="1" applyBorder="1" applyAlignment="1">
      <alignment vertical="center"/>
    </xf>
    <xf numFmtId="0" fontId="0" fillId="18" borderId="0" xfId="0" applyFill="1" applyAlignment="1">
      <alignment vertical="center"/>
    </xf>
    <xf numFmtId="0" fontId="0" fillId="2" borderId="22" xfId="0" applyFill="1" applyBorder="1" applyAlignment="1">
      <alignment horizontal="center" vertical="center" wrapText="1"/>
    </xf>
    <xf numFmtId="0" fontId="0" fillId="3" borderId="22" xfId="0" applyFill="1" applyBorder="1"/>
    <xf numFmtId="0" fontId="0" fillId="3" borderId="34" xfId="0" applyFill="1" applyBorder="1"/>
    <xf numFmtId="0" fontId="3" fillId="0" borderId="0" xfId="0" applyFont="1"/>
    <xf numFmtId="0" fontId="0" fillId="0" borderId="0" xfId="0" applyAlignment="1">
      <alignment wrapText="1"/>
    </xf>
    <xf numFmtId="0" fontId="12"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wrapText="1"/>
    </xf>
    <xf numFmtId="0" fontId="2" fillId="3" borderId="36" xfId="0" applyFont="1" applyFill="1" applyBorder="1" applyAlignment="1">
      <alignment horizontal="right" vertical="center"/>
    </xf>
    <xf numFmtId="0" fontId="0" fillId="0" borderId="7" xfId="0" applyBorder="1" applyAlignment="1">
      <alignment wrapText="1"/>
    </xf>
    <xf numFmtId="0" fontId="0" fillId="0" borderId="7" xfId="0" applyBorder="1" applyAlignment="1">
      <alignment horizontal="right"/>
    </xf>
    <xf numFmtId="0" fontId="3" fillId="4" borderId="1" xfId="0" applyFont="1" applyFill="1" applyBorder="1" applyAlignment="1">
      <alignment wrapText="1"/>
    </xf>
    <xf numFmtId="0" fontId="3" fillId="4" borderId="2" xfId="0" applyFont="1" applyFill="1" applyBorder="1" applyAlignment="1">
      <alignment horizontal="right"/>
    </xf>
    <xf numFmtId="0" fontId="3" fillId="4" borderId="4" xfId="0" applyFont="1" applyFill="1" applyBorder="1" applyAlignment="1">
      <alignment horizontal="right"/>
    </xf>
    <xf numFmtId="0" fontId="0" fillId="3" borderId="22" xfId="0" applyFill="1" applyBorder="1" applyAlignment="1">
      <alignment vertical="center"/>
    </xf>
    <xf numFmtId="0" fontId="0" fillId="19" borderId="0" xfId="0" applyFill="1"/>
    <xf numFmtId="0" fontId="3" fillId="19" borderId="0" xfId="0" applyFont="1" applyFill="1"/>
    <xf numFmtId="0" fontId="0" fillId="3" borderId="7" xfId="0" applyFill="1" applyBorder="1" applyAlignment="1">
      <alignment horizontal="right"/>
    </xf>
    <xf numFmtId="0" fontId="5" fillId="3" borderId="7" xfId="0" applyFont="1" applyFill="1" applyBorder="1" applyAlignment="1">
      <alignment wrapText="1"/>
    </xf>
    <xf numFmtId="0" fontId="5" fillId="3" borderId="7" xfId="0" applyFont="1" applyFill="1" applyBorder="1"/>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17" borderId="15" xfId="0" applyFont="1" applyFill="1" applyBorder="1"/>
    <xf numFmtId="0" fontId="3" fillId="17" borderId="16" xfId="0" applyFont="1" applyFill="1" applyBorder="1"/>
    <xf numFmtId="0" fontId="3" fillId="17" borderId="17" xfId="0" applyFont="1" applyFill="1" applyBorder="1"/>
    <xf numFmtId="0" fontId="0" fillId="19" borderId="18" xfId="0" applyFill="1" applyBorder="1"/>
    <xf numFmtId="0" fontId="3" fillId="4" borderId="0" xfId="0" applyFont="1" applyFill="1"/>
    <xf numFmtId="0" fontId="3" fillId="19" borderId="19" xfId="0" applyFont="1" applyFill="1" applyBorder="1"/>
    <xf numFmtId="0" fontId="0" fillId="19" borderId="19" xfId="0" applyFill="1" applyBorder="1"/>
    <xf numFmtId="0" fontId="0" fillId="19" borderId="26" xfId="0" applyFill="1" applyBorder="1"/>
    <xf numFmtId="0" fontId="0" fillId="19" borderId="27" xfId="0" applyFill="1" applyBorder="1"/>
    <xf numFmtId="0" fontId="0" fillId="19" borderId="28" xfId="0" applyFill="1" applyBorder="1"/>
    <xf numFmtId="0" fontId="3" fillId="3" borderId="0" xfId="0" applyFont="1" applyFill="1" applyAlignment="1">
      <alignment vertical="center"/>
    </xf>
    <xf numFmtId="0" fontId="0" fillId="3" borderId="7" xfId="0" applyFill="1" applyBorder="1" applyAlignment="1">
      <alignment wrapText="1"/>
    </xf>
    <xf numFmtId="0" fontId="3" fillId="4" borderId="0" xfId="0" applyFont="1" applyFill="1" applyAlignment="1">
      <alignment horizontal="right"/>
    </xf>
    <xf numFmtId="0" fontId="0" fillId="2" borderId="7" xfId="0" applyFill="1" applyBorder="1" applyAlignment="1">
      <alignment horizontal="right" vertical="center"/>
    </xf>
    <xf numFmtId="0" fontId="0" fillId="2" borderId="7" xfId="0" applyFill="1" applyBorder="1" applyAlignment="1">
      <alignment vertical="center"/>
    </xf>
    <xf numFmtId="0" fontId="0" fillId="2" borderId="7" xfId="0" applyFill="1" applyBorder="1" applyAlignment="1">
      <alignment vertical="center" wrapText="1"/>
    </xf>
    <xf numFmtId="0" fontId="3" fillId="4" borderId="1" xfId="0" applyFont="1" applyFill="1" applyBorder="1"/>
    <xf numFmtId="0" fontId="3" fillId="4" borderId="12" xfId="0" applyFont="1" applyFill="1" applyBorder="1"/>
    <xf numFmtId="0" fontId="3" fillId="4" borderId="2" xfId="0" applyFont="1" applyFill="1" applyBorder="1"/>
    <xf numFmtId="0" fontId="0" fillId="8" borderId="7" xfId="0" applyFill="1" applyBorder="1"/>
    <xf numFmtId="0" fontId="3" fillId="4" borderId="2" xfId="0" applyFont="1" applyFill="1" applyBorder="1" applyAlignment="1">
      <alignment horizontal="right" wrapText="1"/>
    </xf>
    <xf numFmtId="49" fontId="0" fillId="11" borderId="0" xfId="0" applyNumberFormat="1" applyFill="1" applyAlignment="1">
      <alignment vertical="center"/>
    </xf>
    <xf numFmtId="49" fontId="0" fillId="11" borderId="9" xfId="0" applyNumberFormat="1" applyFill="1" applyBorder="1" applyAlignment="1">
      <alignment vertical="center"/>
    </xf>
    <xf numFmtId="49" fontId="0" fillId="11" borderId="6" xfId="0" applyNumberFormat="1" applyFill="1" applyBorder="1" applyAlignment="1">
      <alignment vertical="center"/>
    </xf>
    <xf numFmtId="0" fontId="1" fillId="11" borderId="0" xfId="0" applyFont="1" applyFill="1" applyAlignment="1">
      <alignment horizontal="left" vertical="center"/>
    </xf>
    <xf numFmtId="0" fontId="8" fillId="11" borderId="0" xfId="0" applyFont="1" applyFill="1" applyAlignment="1">
      <alignment vertical="center"/>
    </xf>
    <xf numFmtId="0" fontId="0" fillId="11" borderId="27" xfId="0" applyFill="1" applyBorder="1" applyAlignment="1">
      <alignment vertical="center"/>
    </xf>
    <xf numFmtId="49" fontId="0" fillId="11" borderId="26" xfId="0" applyNumberFormat="1" applyFill="1" applyBorder="1" applyAlignment="1">
      <alignment vertical="center"/>
    </xf>
    <xf numFmtId="0" fontId="3" fillId="13" borderId="39" xfId="0" applyFont="1" applyFill="1" applyBorder="1" applyAlignment="1">
      <alignment horizontal="left" wrapText="1"/>
    </xf>
    <xf numFmtId="0" fontId="3" fillId="13" borderId="39" xfId="0" applyFont="1" applyFill="1" applyBorder="1" applyAlignment="1">
      <alignment horizontal="center" vertical="center" wrapText="1"/>
    </xf>
    <xf numFmtId="0" fontId="3" fillId="13" borderId="40" xfId="0" applyFont="1" applyFill="1" applyBorder="1" applyAlignment="1">
      <alignment horizontal="center" vertical="center" wrapText="1"/>
    </xf>
    <xf numFmtId="0" fontId="3" fillId="13" borderId="7" xfId="0" applyFont="1" applyFill="1" applyBorder="1" applyAlignment="1">
      <alignment horizontal="right" vertical="center"/>
    </xf>
    <xf numFmtId="0" fontId="0" fillId="3" borderId="37" xfId="0" applyFill="1" applyBorder="1"/>
    <xf numFmtId="0" fontId="0" fillId="3" borderId="41" xfId="0" applyFill="1" applyBorder="1"/>
    <xf numFmtId="0" fontId="0" fillId="3" borderId="11" xfId="0" applyFill="1" applyBorder="1"/>
    <xf numFmtId="49" fontId="19" fillId="14" borderId="0" xfId="0" applyNumberFormat="1" applyFont="1" applyFill="1" applyAlignment="1">
      <alignment horizontal="center" vertical="center"/>
    </xf>
    <xf numFmtId="1" fontId="0" fillId="3" borderId="42" xfId="0" applyNumberFormat="1" applyFill="1" applyBorder="1"/>
    <xf numFmtId="0" fontId="3" fillId="4" borderId="19" xfId="0" applyFont="1" applyFill="1" applyBorder="1" applyAlignment="1">
      <alignment horizontal="center"/>
    </xf>
    <xf numFmtId="0" fontId="0" fillId="2" borderId="19" xfId="0" applyFill="1" applyBorder="1" applyAlignment="1">
      <alignment horizontal="center" vertical="center" wrapText="1"/>
    </xf>
    <xf numFmtId="0" fontId="0" fillId="3" borderId="19" xfId="0" applyFill="1" applyBorder="1" applyAlignment="1">
      <alignment vertical="center"/>
    </xf>
    <xf numFmtId="0" fontId="0" fillId="3" borderId="11" xfId="0" applyFill="1" applyBorder="1" applyAlignment="1">
      <alignment vertical="center"/>
    </xf>
    <xf numFmtId="0" fontId="0" fillId="2" borderId="43" xfId="0" applyFill="1" applyBorder="1"/>
    <xf numFmtId="0" fontId="0" fillId="2" borderId="23" xfId="0" applyFill="1" applyBorder="1" applyAlignment="1">
      <alignment vertical="center"/>
    </xf>
    <xf numFmtId="0" fontId="0" fillId="2" borderId="23" xfId="0" applyFill="1" applyBorder="1"/>
    <xf numFmtId="0" fontId="0" fillId="2" borderId="20" xfId="0" applyFill="1" applyBorder="1"/>
    <xf numFmtId="0" fontId="0" fillId="2" borderId="23" xfId="0" applyFill="1" applyBorder="1" applyAlignment="1">
      <alignment wrapText="1"/>
    </xf>
    <xf numFmtId="0" fontId="0" fillId="3" borderId="24" xfId="0" applyFill="1" applyBorder="1" applyAlignment="1">
      <alignment vertical="center"/>
    </xf>
    <xf numFmtId="0" fontId="0" fillId="2" borderId="38" xfId="0" applyFill="1" applyBorder="1" applyAlignment="1">
      <alignment horizontal="center" vertical="center" wrapText="1"/>
    </xf>
    <xf numFmtId="0" fontId="0" fillId="2" borderId="32" xfId="0" applyFill="1" applyBorder="1" applyAlignment="1">
      <alignment horizontal="center" vertical="center" wrapText="1"/>
    </xf>
    <xf numFmtId="0" fontId="0" fillId="3" borderId="21" xfId="0" applyFill="1" applyBorder="1" applyAlignment="1">
      <alignment vertical="center"/>
    </xf>
    <xf numFmtId="0" fontId="0" fillId="3" borderId="21" xfId="0" applyFill="1" applyBorder="1"/>
    <xf numFmtId="0" fontId="0" fillId="3" borderId="45" xfId="0" applyFill="1" applyBorder="1" applyAlignment="1">
      <alignment vertical="center"/>
    </xf>
    <xf numFmtId="0" fontId="0" fillId="3" borderId="46" xfId="0" applyFill="1" applyBorder="1" applyAlignment="1">
      <alignment vertical="center"/>
    </xf>
    <xf numFmtId="0" fontId="0" fillId="0" borderId="21" xfId="0" applyBorder="1"/>
    <xf numFmtId="0" fontId="3" fillId="13" borderId="43" xfId="0" applyFont="1" applyFill="1" applyBorder="1" applyAlignment="1">
      <alignment horizontal="left"/>
    </xf>
    <xf numFmtId="0" fontId="3" fillId="13" borderId="38" xfId="0" applyFont="1" applyFill="1" applyBorder="1" applyAlignment="1">
      <alignment horizontal="center" vertical="center" wrapText="1"/>
    </xf>
    <xf numFmtId="0" fontId="3" fillId="13" borderId="47" xfId="0" applyFont="1" applyFill="1" applyBorder="1" applyAlignment="1">
      <alignment horizontal="center" vertical="center" wrapText="1"/>
    </xf>
    <xf numFmtId="0" fontId="3" fillId="13" borderId="32" xfId="0" applyFont="1" applyFill="1" applyBorder="1" applyAlignment="1">
      <alignment horizontal="center" vertical="center" wrapText="1"/>
    </xf>
    <xf numFmtId="0" fontId="0" fillId="4" borderId="0" xfId="0" applyFill="1" applyAlignment="1">
      <alignment vertical="center"/>
    </xf>
    <xf numFmtId="0" fontId="0" fillId="2" borderId="0" xfId="0" applyFill="1" applyAlignment="1">
      <alignment vertical="center"/>
    </xf>
    <xf numFmtId="0" fontId="3" fillId="13" borderId="13" xfId="0" applyFont="1" applyFill="1" applyBorder="1" applyAlignment="1">
      <alignment horizontal="right" vertical="center"/>
    </xf>
    <xf numFmtId="0" fontId="3" fillId="13" borderId="11"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0" fillId="3" borderId="45" xfId="0" applyFill="1" applyBorder="1" applyAlignment="1">
      <alignment horizontal="center" vertical="center" wrapText="1"/>
    </xf>
    <xf numFmtId="0" fontId="0" fillId="0" borderId="48" xfId="0" applyBorder="1" applyAlignment="1">
      <alignment vertical="center"/>
    </xf>
    <xf numFmtId="0" fontId="0" fillId="3" borderId="46" xfId="0" applyFill="1" applyBorder="1" applyAlignment="1">
      <alignment horizontal="center" vertical="center" wrapText="1"/>
    </xf>
    <xf numFmtId="9" fontId="0" fillId="3" borderId="45" xfId="1" applyFont="1" applyFill="1" applyBorder="1"/>
    <xf numFmtId="9" fontId="0" fillId="3" borderId="45" xfId="0" applyNumberFormat="1" applyFill="1" applyBorder="1"/>
    <xf numFmtId="0" fontId="20" fillId="0" borderId="49" xfId="0" applyFont="1" applyBorder="1"/>
    <xf numFmtId="0" fontId="20" fillId="0" borderId="50" xfId="0" applyFont="1" applyBorder="1"/>
    <xf numFmtId="0" fontId="20" fillId="0" borderId="51" xfId="0" applyFont="1" applyBorder="1"/>
    <xf numFmtId="0" fontId="20" fillId="0" borderId="52" xfId="0" applyFont="1" applyBorder="1"/>
    <xf numFmtId="0" fontId="0" fillId="3" borderId="54" xfId="0" applyFill="1" applyBorder="1"/>
    <xf numFmtId="0" fontId="3" fillId="13" borderId="56" xfId="0" applyFont="1" applyFill="1" applyBorder="1" applyAlignment="1">
      <alignment horizontal="center" vertical="center" wrapText="1"/>
    </xf>
    <xf numFmtId="0" fontId="3" fillId="13" borderId="57" xfId="0" applyFont="1" applyFill="1" applyBorder="1" applyAlignment="1">
      <alignment horizontal="center" vertical="center" wrapText="1"/>
    </xf>
    <xf numFmtId="0" fontId="0" fillId="3" borderId="49" xfId="0" applyFill="1" applyBorder="1" applyAlignment="1">
      <alignment vertical="center"/>
    </xf>
    <xf numFmtId="0" fontId="0" fillId="3" borderId="50" xfId="0" applyFill="1" applyBorder="1" applyAlignment="1">
      <alignment vertical="center"/>
    </xf>
    <xf numFmtId="0" fontId="0" fillId="3" borderId="51" xfId="0" applyFill="1" applyBorder="1" applyAlignment="1">
      <alignment vertical="center"/>
    </xf>
    <xf numFmtId="0" fontId="0" fillId="3" borderId="52" xfId="0" applyFill="1" applyBorder="1" applyAlignment="1">
      <alignment vertical="center"/>
    </xf>
    <xf numFmtId="0" fontId="0" fillId="14" borderId="0" xfId="0" applyFill="1" applyAlignment="1">
      <alignment horizontal="center" vertical="center"/>
    </xf>
    <xf numFmtId="0" fontId="0" fillId="20" borderId="21" xfId="0" applyFill="1" applyBorder="1" applyAlignment="1">
      <alignment vertical="center"/>
    </xf>
    <xf numFmtId="0" fontId="0" fillId="20" borderId="7" xfId="0" applyFill="1" applyBorder="1"/>
    <xf numFmtId="0" fontId="0" fillId="20" borderId="7" xfId="0" applyFill="1" applyBorder="1" applyAlignment="1">
      <alignment horizontal="right"/>
    </xf>
    <xf numFmtId="0" fontId="21" fillId="3" borderId="0" xfId="4" applyFill="1"/>
    <xf numFmtId="0" fontId="0" fillId="15" borderId="7" xfId="0" applyFill="1" applyBorder="1" applyAlignment="1">
      <alignment vertical="center"/>
    </xf>
    <xf numFmtId="0" fontId="0" fillId="11" borderId="0" xfId="0" applyFill="1" applyAlignment="1">
      <alignment horizontal="left" vertical="center"/>
    </xf>
    <xf numFmtId="3" fontId="5" fillId="3" borderId="7" xfId="0" applyNumberFormat="1" applyFont="1" applyFill="1" applyBorder="1" applyAlignment="1">
      <alignment vertical="center"/>
    </xf>
    <xf numFmtId="3" fontId="0" fillId="7" borderId="0" xfId="0" applyNumberFormat="1" applyFill="1" applyAlignment="1">
      <alignment vertical="center"/>
    </xf>
    <xf numFmtId="3" fontId="0" fillId="3" borderId="7" xfId="0" applyNumberFormat="1" applyFill="1" applyBorder="1" applyAlignment="1">
      <alignment vertical="center"/>
    </xf>
    <xf numFmtId="0" fontId="0" fillId="7" borderId="0" xfId="0" applyFill="1" applyAlignment="1">
      <alignment vertical="center" wrapText="1"/>
    </xf>
    <xf numFmtId="0" fontId="6" fillId="0" borderId="0" xfId="0" applyFont="1" applyAlignment="1">
      <alignment horizontal="center" vertical="center"/>
    </xf>
    <xf numFmtId="3" fontId="0" fillId="2" borderId="7" xfId="0" applyNumberFormat="1" applyFill="1" applyBorder="1" applyAlignment="1">
      <alignment horizontal="right" vertical="center"/>
    </xf>
    <xf numFmtId="3" fontId="0" fillId="3" borderId="7" xfId="0" applyNumberFormat="1" applyFill="1" applyBorder="1" applyAlignment="1">
      <alignment horizontal="right" vertical="center"/>
    </xf>
    <xf numFmtId="0" fontId="0" fillId="3" borderId="23" xfId="0" applyFill="1" applyBorder="1" applyAlignment="1">
      <alignment horizontal="center" vertical="center" wrapText="1"/>
    </xf>
    <xf numFmtId="0" fontId="0" fillId="3" borderId="23" xfId="0" applyFill="1" applyBorder="1" applyAlignment="1">
      <alignment horizontal="center" wrapText="1"/>
    </xf>
    <xf numFmtId="0" fontId="0" fillId="3" borderId="20" xfId="0" applyFill="1" applyBorder="1" applyAlignment="1">
      <alignment horizontal="center" wrapText="1"/>
    </xf>
    <xf numFmtId="2" fontId="0" fillId="3" borderId="7" xfId="0" applyNumberFormat="1" applyFill="1" applyBorder="1" applyAlignment="1">
      <alignment vertical="center"/>
    </xf>
    <xf numFmtId="3" fontId="0" fillId="0" borderId="7" xfId="0" applyNumberFormat="1" applyBorder="1" applyAlignment="1">
      <alignment vertical="center"/>
    </xf>
    <xf numFmtId="0" fontId="14" fillId="0" borderId="0" xfId="0" applyFont="1" applyAlignment="1">
      <alignment horizontal="center" vertical="center"/>
    </xf>
    <xf numFmtId="0" fontId="2" fillId="11" borderId="3" xfId="0" applyFont="1" applyFill="1" applyBorder="1" applyAlignment="1">
      <alignment vertical="center"/>
    </xf>
    <xf numFmtId="3" fontId="0" fillId="3" borderId="53" xfId="0" applyNumberFormat="1" applyFill="1" applyBorder="1"/>
    <xf numFmtId="3" fontId="0" fillId="3" borderId="53" xfId="0" applyNumberFormat="1" applyFill="1" applyBorder="1" applyAlignment="1">
      <alignment vertical="center"/>
    </xf>
    <xf numFmtId="3" fontId="0" fillId="3" borderId="55" xfId="0" applyNumberFormat="1" applyFill="1" applyBorder="1" applyAlignment="1">
      <alignment vertical="center"/>
    </xf>
    <xf numFmtId="3" fontId="0" fillId="3" borderId="7" xfId="0" applyNumberFormat="1" applyFill="1" applyBorder="1" applyAlignment="1">
      <alignment horizontal="right" vertical="center" wrapText="1"/>
    </xf>
    <xf numFmtId="2" fontId="0" fillId="0" borderId="7" xfId="0" applyNumberFormat="1" applyBorder="1" applyAlignment="1">
      <alignment vertical="center"/>
    </xf>
    <xf numFmtId="3" fontId="0" fillId="19" borderId="7" xfId="0" applyNumberFormat="1" applyFill="1" applyBorder="1" applyAlignment="1">
      <alignment vertical="center"/>
    </xf>
    <xf numFmtId="165" fontId="0" fillId="0" borderId="41" xfId="0" applyNumberFormat="1" applyBorder="1"/>
    <xf numFmtId="0" fontId="5" fillId="11" borderId="3" xfId="0" applyFont="1" applyFill="1" applyBorder="1" applyAlignment="1">
      <alignment horizontal="left" vertical="center"/>
    </xf>
    <xf numFmtId="0" fontId="0" fillId="0" borderId="0" xfId="0" quotePrefix="1" applyAlignment="1">
      <alignment vertical="center"/>
    </xf>
    <xf numFmtId="2" fontId="0" fillId="19" borderId="7" xfId="0" applyNumberFormat="1" applyFill="1" applyBorder="1" applyAlignment="1">
      <alignment vertical="center"/>
    </xf>
    <xf numFmtId="3" fontId="0" fillId="0" borderId="0" xfId="0" applyNumberFormat="1"/>
    <xf numFmtId="0" fontId="0" fillId="0" borderId="9" xfId="0" applyBorder="1"/>
    <xf numFmtId="3" fontId="0" fillId="0" borderId="9" xfId="0" applyNumberFormat="1" applyBorder="1"/>
    <xf numFmtId="2" fontId="5" fillId="3" borderId="7" xfId="0" applyNumberFormat="1" applyFont="1" applyFill="1" applyBorder="1" applyAlignment="1">
      <alignment vertical="center"/>
    </xf>
    <xf numFmtId="1" fontId="20" fillId="0" borderId="49" xfId="0" applyNumberFormat="1" applyFont="1" applyBorder="1"/>
    <xf numFmtId="0" fontId="0" fillId="3" borderId="0" xfId="0" quotePrefix="1" applyFill="1" applyAlignment="1">
      <alignment vertical="center"/>
    </xf>
    <xf numFmtId="2" fontId="5" fillId="0" borderId="7" xfId="0" applyNumberFormat="1" applyFont="1" applyBorder="1" applyAlignment="1">
      <alignment vertical="center"/>
    </xf>
    <xf numFmtId="0" fontId="0" fillId="3" borderId="12" xfId="0" applyFill="1" applyBorder="1" applyAlignment="1">
      <alignment vertical="center" wrapText="1"/>
    </xf>
    <xf numFmtId="0" fontId="2" fillId="11" borderId="27" xfId="0" applyFont="1" applyFill="1" applyBorder="1" applyAlignment="1">
      <alignment vertical="center"/>
    </xf>
    <xf numFmtId="3" fontId="2" fillId="11" borderId="27" xfId="0" applyNumberFormat="1" applyFont="1" applyFill="1" applyBorder="1" applyAlignment="1">
      <alignment vertical="center"/>
    </xf>
    <xf numFmtId="0" fontId="0" fillId="11" borderId="19" xfId="0" applyFill="1" applyBorder="1" applyAlignment="1">
      <alignment vertical="center"/>
    </xf>
    <xf numFmtId="166" fontId="0" fillId="3" borderId="19" xfId="0" applyNumberFormat="1" applyFill="1" applyBorder="1" applyAlignment="1">
      <alignment vertical="center"/>
    </xf>
    <xf numFmtId="3" fontId="0" fillId="3" borderId="11" xfId="0" applyNumberFormat="1" applyFill="1" applyBorder="1" applyAlignment="1">
      <alignment vertical="center"/>
    </xf>
    <xf numFmtId="3" fontId="0" fillId="3" borderId="37" xfId="0" applyNumberFormat="1" applyFill="1" applyBorder="1" applyAlignment="1">
      <alignment vertical="center"/>
    </xf>
    <xf numFmtId="0" fontId="23" fillId="16" borderId="26" xfId="0" applyFont="1" applyFill="1" applyBorder="1" applyAlignment="1">
      <alignment horizontal="center" vertical="center"/>
    </xf>
    <xf numFmtId="0" fontId="23" fillId="16" borderId="27" xfId="0" applyFont="1" applyFill="1" applyBorder="1" applyAlignment="1">
      <alignment horizontal="center" vertical="center"/>
    </xf>
    <xf numFmtId="2" fontId="23" fillId="16" borderId="28" xfId="0" applyNumberFormat="1" applyFont="1" applyFill="1" applyBorder="1" applyAlignment="1">
      <alignment horizontal="center" vertical="center"/>
    </xf>
    <xf numFmtId="0" fontId="23" fillId="16" borderId="59" xfId="0" applyFont="1" applyFill="1" applyBorder="1" applyAlignment="1">
      <alignment horizontal="center" vertical="center" wrapText="1"/>
    </xf>
    <xf numFmtId="0" fontId="23" fillId="16" borderId="60" xfId="0" applyFont="1" applyFill="1" applyBorder="1" applyAlignment="1">
      <alignment horizontal="center" vertical="center" wrapText="1"/>
    </xf>
    <xf numFmtId="0" fontId="23" fillId="16" borderId="61" xfId="0" applyFont="1" applyFill="1" applyBorder="1" applyAlignment="1">
      <alignment horizontal="center" vertical="center" wrapText="1"/>
    </xf>
    <xf numFmtId="2" fontId="23" fillId="16" borderId="62" xfId="0" applyNumberFormat="1" applyFont="1" applyFill="1" applyBorder="1" applyAlignment="1">
      <alignment horizontal="center" vertical="center"/>
    </xf>
    <xf numFmtId="0" fontId="23" fillId="16" borderId="63" xfId="0" applyFont="1" applyFill="1" applyBorder="1" applyAlignment="1">
      <alignment horizontal="center" vertical="center"/>
    </xf>
    <xf numFmtId="0" fontId="23" fillId="16" borderId="64" xfId="0" applyFont="1" applyFill="1" applyBorder="1" applyAlignment="1">
      <alignment horizontal="center" vertical="center"/>
    </xf>
    <xf numFmtId="2" fontId="23" fillId="16" borderId="65" xfId="0" applyNumberFormat="1" applyFont="1" applyFill="1" applyBorder="1" applyAlignment="1">
      <alignment horizontal="center" vertical="center"/>
    </xf>
    <xf numFmtId="0" fontId="23" fillId="16" borderId="66" xfId="0" applyFont="1" applyFill="1" applyBorder="1" applyAlignment="1">
      <alignment horizontal="center" vertical="center"/>
    </xf>
    <xf numFmtId="0" fontId="23" fillId="16" borderId="67" xfId="0" applyFont="1" applyFill="1" applyBorder="1" applyAlignment="1">
      <alignment horizontal="center" vertical="center"/>
    </xf>
    <xf numFmtId="0" fontId="0" fillId="3" borderId="25" xfId="0" applyFill="1" applyBorder="1" applyAlignment="1">
      <alignment vertical="center"/>
    </xf>
    <xf numFmtId="166" fontId="23" fillId="16" borderId="64" xfId="0" applyNumberFormat="1" applyFont="1" applyFill="1" applyBorder="1" applyAlignment="1">
      <alignment horizontal="center" vertical="center"/>
    </xf>
    <xf numFmtId="0" fontId="5" fillId="0" borderId="7" xfId="0" applyFont="1" applyBorder="1" applyAlignment="1">
      <alignment vertical="center"/>
    </xf>
    <xf numFmtId="4" fontId="0" fillId="0" borderId="7" xfId="0" applyNumberFormat="1" applyBorder="1" applyAlignment="1">
      <alignment vertical="center"/>
    </xf>
    <xf numFmtId="3" fontId="0" fillId="11" borderId="7" xfId="0" applyNumberFormat="1" applyFill="1" applyBorder="1" applyAlignment="1">
      <alignment vertical="center"/>
    </xf>
    <xf numFmtId="0" fontId="23" fillId="16" borderId="35" xfId="0" applyFont="1" applyFill="1" applyBorder="1" applyAlignment="1">
      <alignment horizontal="center" vertical="center"/>
    </xf>
    <xf numFmtId="0" fontId="23" fillId="16" borderId="37" xfId="0" applyFont="1" applyFill="1" applyBorder="1" applyAlignment="1">
      <alignment horizontal="center" vertical="center"/>
    </xf>
    <xf numFmtId="0" fontId="23" fillId="16" borderId="36" xfId="0" applyFont="1" applyFill="1" applyBorder="1" applyAlignment="1">
      <alignment horizontal="center" vertical="center"/>
    </xf>
    <xf numFmtId="0" fontId="3" fillId="13" borderId="7" xfId="0" applyFont="1" applyFill="1" applyBorder="1" applyAlignment="1">
      <alignment horizontal="center" vertical="center"/>
    </xf>
    <xf numFmtId="0" fontId="3" fillId="13" borderId="14" xfId="0" applyFont="1" applyFill="1" applyBorder="1" applyAlignment="1">
      <alignment horizontal="center" vertical="center"/>
    </xf>
    <xf numFmtId="0" fontId="3" fillId="13" borderId="13" xfId="0" applyFont="1" applyFill="1" applyBorder="1" applyAlignment="1">
      <alignment horizontal="center" vertical="center"/>
    </xf>
    <xf numFmtId="0" fontId="3" fillId="13" borderId="14"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3" fillId="13" borderId="1" xfId="0" applyFont="1" applyFill="1" applyBorder="1" applyAlignment="1">
      <alignment horizontal="center" vertical="center"/>
    </xf>
    <xf numFmtId="0" fontId="3" fillId="13" borderId="12" xfId="0" applyFont="1" applyFill="1" applyBorder="1" applyAlignment="1">
      <alignment horizontal="center" vertical="center"/>
    </xf>
    <xf numFmtId="0" fontId="3" fillId="13" borderId="2" xfId="0" applyFont="1" applyFill="1" applyBorder="1" applyAlignment="1">
      <alignment horizontal="center" vertical="center"/>
    </xf>
    <xf numFmtId="0" fontId="3" fillId="18" borderId="15" xfId="0" applyFont="1" applyFill="1" applyBorder="1" applyAlignment="1">
      <alignment horizontal="center" vertical="center"/>
    </xf>
    <xf numFmtId="0" fontId="3" fillId="18" borderId="16"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0" xfId="0" applyFont="1" applyFill="1" applyAlignment="1">
      <alignment horizontal="center" vertical="center"/>
    </xf>
    <xf numFmtId="0" fontId="1" fillId="9" borderId="1" xfId="0" applyFont="1" applyFill="1" applyBorder="1" applyAlignment="1">
      <alignment horizontal="left" vertical="center"/>
    </xf>
    <xf numFmtId="0" fontId="1" fillId="9" borderId="12" xfId="0" applyFont="1" applyFill="1" applyBorder="1" applyAlignment="1">
      <alignment horizontal="left" vertical="center"/>
    </xf>
    <xf numFmtId="0" fontId="1" fillId="9" borderId="2" xfId="0" applyFont="1" applyFill="1" applyBorder="1" applyAlignment="1">
      <alignment horizontal="left" vertical="center"/>
    </xf>
    <xf numFmtId="0" fontId="0" fillId="2" borderId="31" xfId="0" applyFill="1" applyBorder="1" applyAlignment="1">
      <alignment horizontal="center" vertical="center"/>
    </xf>
    <xf numFmtId="0" fontId="0" fillId="2" borderId="33" xfId="0" applyFill="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58" xfId="0" applyFill="1" applyBorder="1" applyAlignment="1">
      <alignment horizontal="center" vertical="center"/>
    </xf>
    <xf numFmtId="49" fontId="19" fillId="14" borderId="18" xfId="0" applyNumberFormat="1" applyFont="1" applyFill="1" applyBorder="1" applyAlignment="1">
      <alignment horizontal="center" vertical="center"/>
    </xf>
    <xf numFmtId="49" fontId="19" fillId="14" borderId="0" xfId="0" applyNumberFormat="1" applyFont="1" applyFill="1" applyAlignment="1">
      <alignment horizontal="center" vertical="center"/>
    </xf>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0" fillId="0" borderId="0" xfId="0" applyFill="1"/>
  </cellXfs>
  <cellStyles count="5">
    <cellStyle name="Lien hypertexte" xfId="4" builtinId="8"/>
    <cellStyle name="Milliers 2" xfId="3" xr:uid="{00000000-0005-0000-0000-000001000000}"/>
    <cellStyle name="Normal" xfId="0" builtinId="0"/>
    <cellStyle name="Normal 2" xfId="2" xr:uid="{00000000-0005-0000-0000-000002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39732</xdr:colOff>
      <xdr:row>99</xdr:row>
      <xdr:rowOff>3260</xdr:rowOff>
    </xdr:from>
    <xdr:to>
      <xdr:col>5</xdr:col>
      <xdr:colOff>739141</xdr:colOff>
      <xdr:row>105</xdr:row>
      <xdr:rowOff>170498</xdr:rowOff>
    </xdr:to>
    <xdr:pic>
      <xdr:nvPicPr>
        <xdr:cNvPr id="7" name="Image 6">
          <a:extLst>
            <a:ext uri="{FF2B5EF4-FFF2-40B4-BE49-F238E27FC236}">
              <a16:creationId xmlns:a16="http://schemas.microsoft.com/office/drawing/2014/main" id="{08910C1F-24ED-9DD2-404F-8D9DEBC91549}"/>
            </a:ext>
          </a:extLst>
        </xdr:cNvPr>
        <xdr:cNvPicPr>
          <a:picLocks noChangeAspect="1"/>
        </xdr:cNvPicPr>
      </xdr:nvPicPr>
      <xdr:blipFill>
        <a:blip xmlns:r="http://schemas.openxmlformats.org/officeDocument/2006/relationships" r:embed="rId1"/>
        <a:stretch>
          <a:fillRect/>
        </a:stretch>
      </xdr:blipFill>
      <xdr:spPr>
        <a:xfrm>
          <a:off x="363582" y="17805485"/>
          <a:ext cx="6785884" cy="2019849"/>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731520</xdr:colOff>
      <xdr:row>6</xdr:row>
      <xdr:rowOff>76200</xdr:rowOff>
    </xdr:from>
    <xdr:to>
      <xdr:col>21</xdr:col>
      <xdr:colOff>625257</xdr:colOff>
      <xdr:row>15</xdr:row>
      <xdr:rowOff>57321</xdr:rowOff>
    </xdr:to>
    <xdr:pic>
      <xdr:nvPicPr>
        <xdr:cNvPr id="4" name="Image 3">
          <a:extLst>
            <a:ext uri="{FF2B5EF4-FFF2-40B4-BE49-F238E27FC236}">
              <a16:creationId xmlns:a16="http://schemas.microsoft.com/office/drawing/2014/main" id="{E7F77256-9907-47D3-0848-548990AF26D5}"/>
            </a:ext>
          </a:extLst>
        </xdr:cNvPr>
        <xdr:cNvPicPr>
          <a:picLocks noChangeAspect="1"/>
        </xdr:cNvPicPr>
      </xdr:nvPicPr>
      <xdr:blipFill>
        <a:blip xmlns:r="http://schemas.openxmlformats.org/officeDocument/2006/relationships" r:embed="rId1"/>
        <a:stretch>
          <a:fillRect/>
        </a:stretch>
      </xdr:blipFill>
      <xdr:spPr>
        <a:xfrm>
          <a:off x="11597640" y="1341120"/>
          <a:ext cx="4816257" cy="1973751"/>
        </a:xfrm>
        <a:prstGeom prst="rect">
          <a:avLst/>
        </a:prstGeom>
      </xdr:spPr>
    </xdr:pic>
    <xdr:clientData/>
  </xdr:twoCellAnchor>
  <xdr:twoCellAnchor editAs="oneCell">
    <xdr:from>
      <xdr:col>15</xdr:col>
      <xdr:colOff>723900</xdr:colOff>
      <xdr:row>1</xdr:row>
      <xdr:rowOff>7620</xdr:rowOff>
    </xdr:from>
    <xdr:to>
      <xdr:col>21</xdr:col>
      <xdr:colOff>667171</xdr:colOff>
      <xdr:row>5</xdr:row>
      <xdr:rowOff>152477</xdr:rowOff>
    </xdr:to>
    <xdr:pic>
      <xdr:nvPicPr>
        <xdr:cNvPr id="5" name="Image 4">
          <a:extLst>
            <a:ext uri="{FF2B5EF4-FFF2-40B4-BE49-F238E27FC236}">
              <a16:creationId xmlns:a16="http://schemas.microsoft.com/office/drawing/2014/main" id="{94D3AF5E-0F65-5D04-DFAF-4F023F0F8D00}"/>
            </a:ext>
          </a:extLst>
        </xdr:cNvPr>
        <xdr:cNvPicPr>
          <a:picLocks noChangeAspect="1"/>
        </xdr:cNvPicPr>
      </xdr:nvPicPr>
      <xdr:blipFill>
        <a:blip xmlns:r="http://schemas.openxmlformats.org/officeDocument/2006/relationships" r:embed="rId2"/>
        <a:stretch>
          <a:fillRect/>
        </a:stretch>
      </xdr:blipFill>
      <xdr:spPr>
        <a:xfrm>
          <a:off x="11590020" y="350520"/>
          <a:ext cx="4854361" cy="89161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V263"/>
  <sheetViews>
    <sheetView showGridLines="0" topLeftCell="G237" zoomScaleNormal="100" workbookViewId="0">
      <selection activeCell="M217" sqref="M217"/>
    </sheetView>
  </sheetViews>
  <sheetFormatPr baseColWidth="10" defaultColWidth="11.5546875" defaultRowHeight="14.4" outlineLevelRow="1" x14ac:dyDescent="0.3"/>
  <cols>
    <col min="1" max="1" width="4.6640625" style="29" customWidth="1"/>
    <col min="2" max="2" width="38.33203125" style="29" customWidth="1"/>
    <col min="3" max="4" width="14.33203125" style="29" customWidth="1"/>
    <col min="5" max="5" width="21.6640625" style="29" customWidth="1"/>
    <col min="6" max="7" width="15.88671875" style="29" customWidth="1"/>
    <col min="8" max="8" width="15.6640625" style="29" customWidth="1"/>
    <col min="9" max="9" width="19.33203125" style="29" customWidth="1"/>
    <col min="10" max="11" width="15.6640625" style="29" customWidth="1"/>
    <col min="12" max="12" width="13.33203125" style="29" customWidth="1"/>
    <col min="13" max="14" width="14.33203125" style="29" customWidth="1"/>
    <col min="15" max="16384" width="11.5546875" style="29"/>
  </cols>
  <sheetData>
    <row r="2" spans="2:8" x14ac:dyDescent="0.3">
      <c r="B2" s="10" t="s">
        <v>0</v>
      </c>
      <c r="C2" s="8"/>
      <c r="D2" s="8"/>
      <c r="E2" s="8"/>
      <c r="F2" s="28"/>
      <c r="G2" s="187"/>
    </row>
    <row r="3" spans="2:8" x14ac:dyDescent="0.3">
      <c r="B3" s="1"/>
      <c r="C3" s="16"/>
      <c r="D3" s="16"/>
      <c r="E3" s="9"/>
      <c r="F3" s="30"/>
      <c r="G3" s="188"/>
    </row>
    <row r="4" spans="2:8" x14ac:dyDescent="0.3">
      <c r="B4" s="11" t="s">
        <v>1</v>
      </c>
      <c r="C4" s="16"/>
      <c r="D4" s="16"/>
      <c r="E4" s="3"/>
      <c r="F4" s="30"/>
      <c r="G4" s="188"/>
    </row>
    <row r="5" spans="2:8" x14ac:dyDescent="0.3">
      <c r="B5" s="11" t="s">
        <v>2</v>
      </c>
      <c r="C5" s="16"/>
      <c r="D5" s="16"/>
      <c r="E5" s="4"/>
      <c r="F5" s="30"/>
      <c r="G5" s="188"/>
    </row>
    <row r="6" spans="2:8" x14ac:dyDescent="0.3">
      <c r="B6" s="12" t="s">
        <v>58</v>
      </c>
      <c r="C6" s="16"/>
      <c r="D6" s="16"/>
      <c r="E6" s="3"/>
      <c r="F6" s="30"/>
      <c r="G6" s="188"/>
      <c r="H6" s="237"/>
    </row>
    <row r="7" spans="2:8" x14ac:dyDescent="0.3">
      <c r="B7" s="11" t="s">
        <v>59</v>
      </c>
      <c r="C7" s="16"/>
      <c r="D7" s="16"/>
      <c r="E7" s="3"/>
      <c r="F7" s="30"/>
      <c r="G7" s="188"/>
      <c r="H7" s="31"/>
    </row>
    <row r="8" spans="2:8" x14ac:dyDescent="0.3">
      <c r="B8" s="11" t="s">
        <v>3</v>
      </c>
      <c r="C8" s="16"/>
      <c r="D8" s="16"/>
      <c r="E8" s="3"/>
      <c r="F8" s="30"/>
      <c r="G8" s="188"/>
    </row>
    <row r="9" spans="2:8" x14ac:dyDescent="0.3">
      <c r="B9" s="11" t="s">
        <v>4</v>
      </c>
      <c r="C9" s="16"/>
      <c r="D9" s="16"/>
      <c r="E9" s="3"/>
      <c r="F9" s="30"/>
      <c r="G9" s="188"/>
    </row>
    <row r="10" spans="2:8" x14ac:dyDescent="0.3">
      <c r="B10" s="11" t="s">
        <v>5</v>
      </c>
      <c r="C10" s="16"/>
      <c r="D10" s="16"/>
      <c r="E10" s="5"/>
      <c r="F10" s="30"/>
      <c r="G10" s="188"/>
      <c r="H10" s="31"/>
    </row>
    <row r="11" spans="2:8" x14ac:dyDescent="0.3">
      <c r="B11" s="2"/>
      <c r="C11" s="16"/>
      <c r="D11" s="16"/>
      <c r="E11" s="6"/>
      <c r="F11" s="7"/>
      <c r="G11" s="16"/>
    </row>
    <row r="12" spans="2:8" x14ac:dyDescent="0.3">
      <c r="B12" s="10" t="s">
        <v>6</v>
      </c>
      <c r="C12" s="8"/>
      <c r="D12" s="8"/>
      <c r="E12" s="8"/>
      <c r="F12" s="28"/>
      <c r="G12" s="187"/>
    </row>
    <row r="13" spans="2:8" x14ac:dyDescent="0.3">
      <c r="B13" s="1"/>
      <c r="C13" s="9"/>
      <c r="D13" s="9"/>
      <c r="E13" s="9"/>
      <c r="F13" s="30"/>
      <c r="G13" s="188"/>
    </row>
    <row r="14" spans="2:8" x14ac:dyDescent="0.3">
      <c r="B14" s="12" t="s">
        <v>44</v>
      </c>
      <c r="C14" s="9"/>
      <c r="D14" s="9"/>
      <c r="E14" s="3"/>
      <c r="F14" s="30"/>
      <c r="G14" s="188"/>
    </row>
    <row r="15" spans="2:8" x14ac:dyDescent="0.3">
      <c r="B15" s="11" t="s">
        <v>42</v>
      </c>
      <c r="C15" s="9"/>
      <c r="D15" s="9"/>
      <c r="E15" s="3"/>
      <c r="F15" s="30"/>
      <c r="G15" s="188"/>
    </row>
    <row r="16" spans="2:8" x14ac:dyDescent="0.3">
      <c r="B16" s="11" t="s">
        <v>72</v>
      </c>
      <c r="C16" s="9"/>
      <c r="D16" s="9"/>
      <c r="E16" s="3"/>
      <c r="F16" s="30"/>
      <c r="G16" s="188"/>
    </row>
    <row r="17" spans="1:12" x14ac:dyDescent="0.3">
      <c r="B17" s="11" t="s">
        <v>74</v>
      </c>
      <c r="C17" s="9"/>
      <c r="D17" s="9"/>
      <c r="E17" s="221"/>
      <c r="F17" s="30"/>
      <c r="G17" s="188"/>
    </row>
    <row r="18" spans="1:12" x14ac:dyDescent="0.3">
      <c r="B18" s="11" t="s">
        <v>73</v>
      </c>
      <c r="C18" s="9"/>
      <c r="D18" s="9"/>
      <c r="E18" s="221"/>
      <c r="F18" s="30"/>
      <c r="G18" s="188"/>
    </row>
    <row r="19" spans="1:12" x14ac:dyDescent="0.3">
      <c r="B19" s="11" t="s">
        <v>267</v>
      </c>
      <c r="C19" s="9"/>
      <c r="D19" s="9"/>
      <c r="E19" s="232"/>
      <c r="F19" s="30"/>
      <c r="G19" s="188"/>
    </row>
    <row r="20" spans="1:12" x14ac:dyDescent="0.3">
      <c r="B20" s="11" t="s">
        <v>111</v>
      </c>
      <c r="C20" s="9"/>
      <c r="D20" s="9"/>
      <c r="E20" s="232"/>
      <c r="F20" s="30"/>
      <c r="G20" s="188"/>
    </row>
    <row r="21" spans="1:12" x14ac:dyDescent="0.3">
      <c r="B21" s="11" t="s">
        <v>112</v>
      </c>
      <c r="C21" s="9"/>
      <c r="D21" s="9"/>
      <c r="E21" s="232"/>
      <c r="F21" s="30"/>
      <c r="G21" s="188"/>
    </row>
    <row r="22" spans="1:12" x14ac:dyDescent="0.3">
      <c r="B22" s="2"/>
      <c r="C22" s="6"/>
      <c r="D22" s="6"/>
      <c r="E22" s="6"/>
      <c r="F22" s="7"/>
      <c r="G22" s="16"/>
    </row>
    <row r="25" spans="1:12" x14ac:dyDescent="0.3">
      <c r="A25" s="219" t="s">
        <v>10</v>
      </c>
      <c r="B25" s="32" t="s">
        <v>7</v>
      </c>
      <c r="C25" s="32"/>
      <c r="D25" s="32"/>
      <c r="E25" s="32"/>
      <c r="F25" s="32"/>
      <c r="G25" s="32"/>
      <c r="H25" s="32"/>
      <c r="I25" s="32"/>
      <c r="J25" s="32"/>
      <c r="K25" s="32"/>
      <c r="L25" s="32"/>
    </row>
    <row r="26" spans="1:12" x14ac:dyDescent="0.3">
      <c r="B26" s="33" t="s">
        <v>8</v>
      </c>
      <c r="C26" s="34"/>
      <c r="D26" s="34"/>
      <c r="E26" s="34"/>
      <c r="F26" s="35"/>
      <c r="G26" s="35"/>
      <c r="H26" s="35"/>
      <c r="I26" s="35"/>
      <c r="J26" s="35"/>
      <c r="K26" s="35"/>
      <c r="L26" s="35"/>
    </row>
    <row r="27" spans="1:12" ht="46.95" customHeight="1" x14ac:dyDescent="0.3">
      <c r="B27" s="36" t="s">
        <v>15</v>
      </c>
      <c r="C27" s="37"/>
      <c r="D27" s="37"/>
      <c r="E27" s="38" t="s">
        <v>60</v>
      </c>
      <c r="F27" s="22"/>
      <c r="G27" s="218" t="s">
        <v>247</v>
      </c>
      <c r="H27" s="39" t="s">
        <v>253</v>
      </c>
      <c r="I27" s="22"/>
      <c r="J27" s="39" t="s">
        <v>38</v>
      </c>
      <c r="K27" s="39"/>
      <c r="L27" s="22"/>
    </row>
    <row r="28" spans="1:12" x14ac:dyDescent="0.3">
      <c r="B28" s="36" t="s">
        <v>273</v>
      </c>
      <c r="C28" s="37"/>
      <c r="D28" s="37"/>
      <c r="E28" s="245"/>
      <c r="F28" s="22"/>
      <c r="G28" s="216">
        <f>(E28*$E$19)/1000</f>
        <v>0</v>
      </c>
      <c r="H28" s="267"/>
      <c r="I28" s="22"/>
      <c r="J28" s="215">
        <f>G28*H28</f>
        <v>0</v>
      </c>
      <c r="K28" s="22"/>
      <c r="L28" s="22"/>
    </row>
    <row r="29" spans="1:12" x14ac:dyDescent="0.3">
      <c r="B29" s="36" t="s">
        <v>274</v>
      </c>
      <c r="C29" s="37"/>
      <c r="D29" s="37"/>
      <c r="E29" s="242"/>
      <c r="F29" s="22"/>
      <c r="G29" s="216">
        <f t="shared" ref="G29:G34" si="0">(E29*$E$19)/1000</f>
        <v>0</v>
      </c>
      <c r="H29" s="267"/>
      <c r="I29" s="22"/>
      <c r="J29" s="215">
        <f t="shared" ref="J29:J34" si="1">G29*H29</f>
        <v>0</v>
      </c>
      <c r="K29" s="22"/>
      <c r="L29" s="22"/>
    </row>
    <row r="30" spans="1:12" x14ac:dyDescent="0.3">
      <c r="B30" s="36" t="s">
        <v>275</v>
      </c>
      <c r="C30" s="37"/>
      <c r="D30" s="37"/>
      <c r="E30" s="242"/>
      <c r="F30" s="22"/>
      <c r="G30" s="216">
        <f t="shared" si="0"/>
        <v>0</v>
      </c>
      <c r="H30" s="267"/>
      <c r="I30" s="22"/>
      <c r="J30" s="215">
        <f t="shared" si="1"/>
        <v>0</v>
      </c>
      <c r="K30" s="22"/>
      <c r="L30" s="22"/>
    </row>
    <row r="31" spans="1:12" x14ac:dyDescent="0.3">
      <c r="B31" s="36" t="s">
        <v>276</v>
      </c>
      <c r="C31" s="37"/>
      <c r="D31" s="37"/>
      <c r="E31" s="242"/>
      <c r="F31" s="22"/>
      <c r="G31" s="216">
        <f t="shared" si="0"/>
        <v>0</v>
      </c>
      <c r="H31" s="267"/>
      <c r="I31" s="22"/>
      <c r="J31" s="215">
        <f t="shared" si="1"/>
        <v>0</v>
      </c>
      <c r="K31" s="22"/>
      <c r="L31" s="22"/>
    </row>
    <row r="32" spans="1:12" x14ac:dyDescent="0.3">
      <c r="B32" s="36" t="s">
        <v>277</v>
      </c>
      <c r="C32" s="37"/>
      <c r="D32" s="37"/>
      <c r="E32" s="242"/>
      <c r="F32" s="22"/>
      <c r="G32" s="216">
        <f t="shared" si="0"/>
        <v>0</v>
      </c>
      <c r="H32" s="267"/>
      <c r="I32" s="22"/>
      <c r="J32" s="215">
        <f t="shared" si="1"/>
        <v>0</v>
      </c>
      <c r="K32" s="22"/>
      <c r="L32" s="22"/>
    </row>
    <row r="33" spans="2:12" x14ac:dyDescent="0.3">
      <c r="B33" s="36" t="s">
        <v>278</v>
      </c>
      <c r="C33" s="37"/>
      <c r="D33" s="37"/>
      <c r="E33" s="242"/>
      <c r="F33" s="22"/>
      <c r="G33" s="216">
        <f t="shared" si="0"/>
        <v>0</v>
      </c>
      <c r="H33" s="267"/>
      <c r="I33" s="22"/>
      <c r="J33" s="215">
        <f t="shared" si="1"/>
        <v>0</v>
      </c>
      <c r="K33" s="22"/>
      <c r="L33" s="22"/>
    </row>
    <row r="34" spans="2:12" x14ac:dyDescent="0.3">
      <c r="B34" s="36" t="s">
        <v>279</v>
      </c>
      <c r="C34" s="37"/>
      <c r="D34" s="37"/>
      <c r="E34" s="242"/>
      <c r="F34" s="22"/>
      <c r="G34" s="216">
        <f t="shared" si="0"/>
        <v>0</v>
      </c>
      <c r="H34" s="267"/>
      <c r="I34" s="22"/>
      <c r="J34" s="215">
        <f t="shared" si="1"/>
        <v>0</v>
      </c>
      <c r="K34" s="22"/>
      <c r="L34" s="22"/>
    </row>
    <row r="35" spans="2:12" x14ac:dyDescent="0.3">
      <c r="B35" s="36"/>
      <c r="C35" s="37"/>
      <c r="D35" s="37"/>
      <c r="E35" s="22"/>
      <c r="F35" s="22"/>
      <c r="G35" s="216"/>
      <c r="H35" s="22"/>
      <c r="I35" s="22"/>
      <c r="J35" s="216"/>
      <c r="K35" s="22"/>
      <c r="L35" s="22"/>
    </row>
    <row r="36" spans="2:12" x14ac:dyDescent="0.3">
      <c r="B36" s="36" t="s">
        <v>271</v>
      </c>
      <c r="C36" s="37"/>
      <c r="D36" s="37"/>
      <c r="E36" s="215"/>
      <c r="F36" s="22"/>
      <c r="G36" s="216">
        <f>E36</f>
        <v>0</v>
      </c>
      <c r="H36" s="40"/>
      <c r="I36" s="22"/>
      <c r="J36" s="215">
        <f>G36*H36</f>
        <v>0</v>
      </c>
      <c r="K36" s="22"/>
      <c r="L36" s="22"/>
    </row>
    <row r="37" spans="2:12" x14ac:dyDescent="0.3">
      <c r="B37" s="36" t="s">
        <v>11</v>
      </c>
      <c r="C37" s="37"/>
      <c r="D37" s="37"/>
      <c r="E37" s="40"/>
      <c r="F37" s="22"/>
      <c r="G37" s="216">
        <f t="shared" ref="G37:G40" si="2">(E37*$E$18)/1000</f>
        <v>0</v>
      </c>
      <c r="H37" s="40"/>
      <c r="I37" s="22"/>
      <c r="J37" s="215">
        <f t="shared" ref="J37:J40" si="3">G37*H37</f>
        <v>0</v>
      </c>
      <c r="K37" s="22"/>
      <c r="L37" s="22"/>
    </row>
    <row r="38" spans="2:12" x14ac:dyDescent="0.3">
      <c r="B38" s="36" t="s">
        <v>12</v>
      </c>
      <c r="C38" s="37"/>
      <c r="D38" s="37"/>
      <c r="E38" s="40"/>
      <c r="F38" s="22"/>
      <c r="G38" s="216">
        <f t="shared" si="2"/>
        <v>0</v>
      </c>
      <c r="H38" s="40"/>
      <c r="I38" s="22"/>
      <c r="J38" s="215">
        <f t="shared" si="3"/>
        <v>0</v>
      </c>
      <c r="K38" s="22"/>
      <c r="L38" s="22"/>
    </row>
    <row r="39" spans="2:12" x14ac:dyDescent="0.3">
      <c r="B39" s="36" t="s">
        <v>13</v>
      </c>
      <c r="C39" s="37"/>
      <c r="D39" s="37"/>
      <c r="E39" s="40"/>
      <c r="F39" s="22"/>
      <c r="G39" s="216">
        <f t="shared" si="2"/>
        <v>0</v>
      </c>
      <c r="H39" s="40"/>
      <c r="I39" s="22"/>
      <c r="J39" s="215">
        <f t="shared" si="3"/>
        <v>0</v>
      </c>
      <c r="K39" s="22"/>
      <c r="L39" s="22"/>
    </row>
    <row r="40" spans="2:12" x14ac:dyDescent="0.3">
      <c r="B40" s="36" t="s">
        <v>14</v>
      </c>
      <c r="C40" s="37"/>
      <c r="D40" s="37"/>
      <c r="E40" s="40"/>
      <c r="F40" s="22"/>
      <c r="G40" s="216">
        <f t="shared" si="2"/>
        <v>0</v>
      </c>
      <c r="H40" s="40"/>
      <c r="I40" s="22"/>
      <c r="J40" s="215">
        <f t="shared" si="3"/>
        <v>0</v>
      </c>
      <c r="K40" s="22"/>
      <c r="L40" s="22"/>
    </row>
    <row r="41" spans="2:12" x14ac:dyDescent="0.3">
      <c r="B41" s="36"/>
      <c r="C41" s="22"/>
      <c r="D41" s="22"/>
      <c r="E41" s="22"/>
      <c r="F41" s="22"/>
      <c r="G41" s="22"/>
      <c r="H41" s="22"/>
      <c r="I41" s="22"/>
      <c r="J41" s="22"/>
      <c r="K41" s="22"/>
      <c r="L41" s="22"/>
    </row>
    <row r="42" spans="2:12" x14ac:dyDescent="0.3">
      <c r="B42" s="33" t="s">
        <v>61</v>
      </c>
      <c r="C42" s="34"/>
      <c r="D42" s="34"/>
      <c r="E42" s="34"/>
      <c r="F42" s="35"/>
      <c r="G42" s="35"/>
      <c r="H42" s="35"/>
      <c r="I42" s="35"/>
      <c r="J42" s="35"/>
      <c r="K42" s="35"/>
      <c r="L42" s="35"/>
    </row>
    <row r="43" spans="2:12" x14ac:dyDescent="0.3">
      <c r="B43" s="36" t="s">
        <v>15</v>
      </c>
      <c r="C43" s="37"/>
      <c r="D43" s="37"/>
      <c r="E43" s="41" t="s">
        <v>62</v>
      </c>
      <c r="F43" s="22"/>
      <c r="G43" s="22"/>
      <c r="H43" s="22"/>
      <c r="I43" s="22"/>
      <c r="J43" s="39" t="s">
        <v>86</v>
      </c>
      <c r="K43" s="39"/>
      <c r="L43" s="22"/>
    </row>
    <row r="44" spans="2:12" x14ac:dyDescent="0.3">
      <c r="B44" s="36" t="str">
        <f>B28</f>
        <v>1) Aggregate 0/10 - fine screning route - valorisation for binder</v>
      </c>
      <c r="C44" s="22"/>
      <c r="D44" s="22"/>
      <c r="E44" s="42"/>
      <c r="F44" s="22"/>
      <c r="G44" s="22"/>
      <c r="H44" s="43"/>
      <c r="I44" s="22"/>
      <c r="J44" s="215">
        <f>J28-E44*J28</f>
        <v>0</v>
      </c>
      <c r="K44" s="22"/>
      <c r="L44" s="22"/>
    </row>
    <row r="45" spans="2:12" x14ac:dyDescent="0.3">
      <c r="B45" s="36" t="str">
        <f t="shared" ref="B45:B50" si="4">B29</f>
        <v>2) Aggregate 10/20 - middle - screning route -Subbase subgrade Embankment</v>
      </c>
      <c r="C45" s="22"/>
      <c r="D45" s="22"/>
      <c r="E45" s="42"/>
      <c r="F45" s="22"/>
      <c r="G45" s="22"/>
      <c r="H45" s="43"/>
      <c r="I45" s="22"/>
      <c r="J45" s="215">
        <f t="shared" ref="J45:J50" si="5">J29-E45*J29</f>
        <v>0</v>
      </c>
      <c r="K45" s="22"/>
      <c r="L45" s="22"/>
    </row>
    <row r="46" spans="2:12" x14ac:dyDescent="0.3">
      <c r="B46" s="36" t="str">
        <f t="shared" si="4"/>
        <v>3) Aggregate 20/32 -middle - screning route -Subbase subgrade Embankment</v>
      </c>
      <c r="C46" s="22"/>
      <c r="D46" s="22"/>
      <c r="E46" s="42"/>
      <c r="F46" s="22"/>
      <c r="G46" s="22"/>
      <c r="H46" s="43"/>
      <c r="I46" s="22"/>
      <c r="J46" s="215">
        <f>J30-E46*J30</f>
        <v>0</v>
      </c>
      <c r="K46" s="22"/>
      <c r="L46" s="22"/>
    </row>
    <row r="47" spans="2:12" x14ac:dyDescent="0.3">
      <c r="B47" s="36" t="str">
        <f t="shared" si="4"/>
        <v>4) Aggregate 32/56 --&gt; 0-10 - grinding route - Soil stabilisation</v>
      </c>
      <c r="C47" s="22"/>
      <c r="D47" s="22"/>
      <c r="E47" s="42"/>
      <c r="F47" s="22"/>
      <c r="G47" s="22"/>
      <c r="H47" s="43"/>
      <c r="I47" s="22"/>
      <c r="J47" s="215">
        <f t="shared" si="5"/>
        <v>0</v>
      </c>
      <c r="K47" s="22"/>
      <c r="L47" s="22"/>
    </row>
    <row r="48" spans="2:12" x14ac:dyDescent="0.3">
      <c r="B48" s="36" t="str">
        <f t="shared" si="4"/>
        <v>5) Aggregate 32/56 --&gt; 10-20 - grinding route - Subbase subgrade Embankment</v>
      </c>
      <c r="C48" s="22"/>
      <c r="D48" s="22"/>
      <c r="E48" s="42"/>
      <c r="F48" s="22"/>
      <c r="G48" s="22"/>
      <c r="H48" s="43"/>
      <c r="I48" s="22"/>
      <c r="J48" s="215">
        <f t="shared" si="5"/>
        <v>0</v>
      </c>
      <c r="K48" s="22"/>
      <c r="L48" s="22"/>
    </row>
    <row r="49" spans="1:12" x14ac:dyDescent="0.3">
      <c r="B49" s="36" t="str">
        <f t="shared" si="4"/>
        <v>6) Aggregate 32/56 --&gt; 20-32 - grinding route -Subbase subgrade Embankment</v>
      </c>
      <c r="C49" s="22"/>
      <c r="D49" s="22"/>
      <c r="E49" s="42"/>
      <c r="F49" s="22"/>
      <c r="G49" s="22"/>
      <c r="H49" s="43"/>
      <c r="I49" s="22"/>
      <c r="J49" s="215">
        <f t="shared" si="5"/>
        <v>0</v>
      </c>
      <c r="K49" s="22"/>
      <c r="L49" s="22"/>
    </row>
    <row r="50" spans="1:12" x14ac:dyDescent="0.3">
      <c r="B50" s="36" t="str">
        <f t="shared" si="4"/>
        <v>7)  Iron scraps</v>
      </c>
      <c r="C50" s="22"/>
      <c r="D50" s="22"/>
      <c r="E50" s="42"/>
      <c r="F50" s="22"/>
      <c r="G50" s="22"/>
      <c r="H50" s="43"/>
      <c r="I50" s="22"/>
      <c r="J50" s="215">
        <f t="shared" si="5"/>
        <v>0</v>
      </c>
      <c r="K50" s="22"/>
      <c r="L50" s="22"/>
    </row>
    <row r="51" spans="1:12" x14ac:dyDescent="0.3">
      <c r="B51" s="36"/>
      <c r="C51" s="22"/>
      <c r="D51" s="22"/>
      <c r="E51" s="22"/>
      <c r="F51" s="22"/>
      <c r="G51" s="22"/>
      <c r="H51" s="43"/>
      <c r="I51" s="22"/>
      <c r="J51" s="216"/>
      <c r="K51" s="22"/>
      <c r="L51" s="22"/>
    </row>
    <row r="52" spans="1:12" x14ac:dyDescent="0.3">
      <c r="B52" s="36" t="s">
        <v>41</v>
      </c>
      <c r="C52" s="22"/>
      <c r="D52" s="22"/>
      <c r="E52" s="22"/>
      <c r="F52" s="22"/>
      <c r="G52" s="22"/>
      <c r="H52" s="43"/>
      <c r="I52" s="22"/>
      <c r="J52" s="216"/>
      <c r="K52" s="22"/>
      <c r="L52" s="22"/>
    </row>
    <row r="53" spans="1:12" x14ac:dyDescent="0.3">
      <c r="B53" s="36" t="s">
        <v>16</v>
      </c>
      <c r="C53" s="22"/>
      <c r="D53" s="22"/>
      <c r="E53" s="42"/>
      <c r="F53" s="22"/>
      <c r="G53" s="22"/>
      <c r="H53" s="43"/>
      <c r="I53" s="22"/>
      <c r="J53" s="215">
        <f>J36-J36*E53</f>
        <v>0</v>
      </c>
      <c r="K53" s="22"/>
      <c r="L53" s="22"/>
    </row>
    <row r="54" spans="1:12" x14ac:dyDescent="0.3">
      <c r="B54" s="36" t="s">
        <v>17</v>
      </c>
      <c r="C54" s="22"/>
      <c r="D54" s="22"/>
      <c r="E54" s="42"/>
      <c r="F54" s="22"/>
      <c r="G54" s="22"/>
      <c r="H54" s="43"/>
      <c r="I54" s="22"/>
      <c r="J54" s="215">
        <f>J37-J37*E54</f>
        <v>0</v>
      </c>
      <c r="K54" s="22"/>
      <c r="L54" s="22"/>
    </row>
    <row r="55" spans="1:12" x14ac:dyDescent="0.3">
      <c r="B55" s="36" t="s">
        <v>18</v>
      </c>
      <c r="C55" s="22"/>
      <c r="D55" s="22"/>
      <c r="E55" s="42"/>
      <c r="F55" s="22"/>
      <c r="G55" s="22"/>
      <c r="H55" s="43"/>
      <c r="I55" s="22"/>
      <c r="J55" s="215">
        <f>J38-J38*E55</f>
        <v>0</v>
      </c>
      <c r="K55" s="22"/>
      <c r="L55" s="22"/>
    </row>
    <row r="56" spans="1:12" x14ac:dyDescent="0.3">
      <c r="B56" s="36" t="s">
        <v>39</v>
      </c>
      <c r="C56" s="22"/>
      <c r="D56" s="22"/>
      <c r="E56" s="42"/>
      <c r="F56" s="22"/>
      <c r="G56" s="22"/>
      <c r="H56" s="43"/>
      <c r="I56" s="22"/>
      <c r="J56" s="215">
        <f>J39-J39*E56</f>
        <v>0</v>
      </c>
      <c r="K56" s="22"/>
      <c r="L56" s="22"/>
    </row>
    <row r="57" spans="1:12" x14ac:dyDescent="0.3">
      <c r="B57" s="36" t="s">
        <v>40</v>
      </c>
      <c r="C57" s="22"/>
      <c r="D57" s="22"/>
      <c r="E57" s="42"/>
      <c r="F57" s="22"/>
      <c r="G57" s="22"/>
      <c r="H57" s="43"/>
      <c r="I57" s="22"/>
      <c r="J57" s="215">
        <f>J40-J40*E57</f>
        <v>0</v>
      </c>
      <c r="K57" s="22"/>
      <c r="L57" s="22"/>
    </row>
    <row r="58" spans="1:12" x14ac:dyDescent="0.3">
      <c r="B58" s="36"/>
      <c r="C58" s="22"/>
      <c r="D58" s="22"/>
      <c r="E58" s="22"/>
      <c r="F58" s="22"/>
      <c r="G58" s="22"/>
      <c r="H58" s="43"/>
      <c r="I58" s="22"/>
      <c r="J58" s="43"/>
      <c r="K58" s="43"/>
      <c r="L58" s="22"/>
    </row>
    <row r="59" spans="1:12" x14ac:dyDescent="0.3">
      <c r="B59" s="44"/>
      <c r="C59" s="45"/>
      <c r="D59" s="45"/>
      <c r="E59" s="45" t="s">
        <v>257</v>
      </c>
      <c r="F59" s="45"/>
      <c r="G59" s="45"/>
      <c r="H59" s="46" t="s">
        <v>258</v>
      </c>
      <c r="I59" s="45"/>
      <c r="J59" s="45"/>
      <c r="K59" s="45"/>
      <c r="L59" s="47"/>
    </row>
    <row r="60" spans="1:12" x14ac:dyDescent="0.3">
      <c r="B60" s="48" t="s">
        <v>9</v>
      </c>
      <c r="C60" s="31"/>
      <c r="D60" s="31"/>
      <c r="E60" s="217">
        <f>SUM(J28:J34,J36:J40)</f>
        <v>0</v>
      </c>
      <c r="F60" s="31"/>
      <c r="G60" s="31"/>
      <c r="H60" s="217">
        <f>SUM(J44:J50,J53:J57)</f>
        <v>0</v>
      </c>
      <c r="I60" s="31"/>
      <c r="J60" s="31"/>
      <c r="K60" s="31"/>
      <c r="L60" s="50"/>
    </row>
    <row r="61" spans="1:12" x14ac:dyDescent="0.3">
      <c r="B61" s="51"/>
      <c r="C61" s="52"/>
      <c r="D61" s="52"/>
      <c r="E61" s="52"/>
      <c r="F61" s="52"/>
      <c r="G61" s="52"/>
      <c r="H61" s="52"/>
      <c r="I61" s="52"/>
      <c r="J61" s="52"/>
      <c r="K61" s="52"/>
      <c r="L61" s="53"/>
    </row>
    <row r="64" spans="1:12" x14ac:dyDescent="0.3">
      <c r="A64" s="227" t="s">
        <v>19</v>
      </c>
      <c r="B64" s="287" t="s">
        <v>20</v>
      </c>
      <c r="C64" s="288"/>
      <c r="D64" s="288"/>
      <c r="E64" s="288"/>
      <c r="F64" s="288"/>
      <c r="G64" s="288"/>
      <c r="H64" s="288"/>
      <c r="I64" s="288"/>
      <c r="J64" s="288"/>
      <c r="K64" s="288"/>
      <c r="L64" s="289"/>
    </row>
    <row r="65" spans="2:12" x14ac:dyDescent="0.3">
      <c r="B65" s="54" t="s">
        <v>84</v>
      </c>
      <c r="C65" s="55"/>
      <c r="D65" s="55"/>
      <c r="E65" s="55"/>
      <c r="F65" s="55"/>
      <c r="G65" s="55"/>
      <c r="H65" s="55"/>
      <c r="I65" s="55"/>
      <c r="J65" s="55"/>
      <c r="K65" s="55"/>
      <c r="L65" s="56"/>
    </row>
    <row r="66" spans="2:12" x14ac:dyDescent="0.3">
      <c r="B66" s="57"/>
      <c r="C66" s="58"/>
      <c r="D66" s="58"/>
      <c r="E66" s="58"/>
      <c r="F66" s="58"/>
      <c r="G66" s="58"/>
      <c r="H66" s="58"/>
      <c r="I66" s="58"/>
      <c r="J66" s="58"/>
      <c r="K66" s="58"/>
      <c r="L66" s="59"/>
    </row>
    <row r="67" spans="2:12" x14ac:dyDescent="0.3">
      <c r="B67" s="60"/>
      <c r="C67" s="61"/>
      <c r="D67" s="61"/>
      <c r="E67" s="61"/>
      <c r="F67" s="61"/>
      <c r="G67" s="61"/>
      <c r="H67" s="61"/>
      <c r="I67" s="61"/>
      <c r="J67" s="61" t="s">
        <v>113</v>
      </c>
      <c r="K67" s="61"/>
      <c r="L67" s="62"/>
    </row>
    <row r="68" spans="2:12" x14ac:dyDescent="0.3">
      <c r="B68" s="60" t="s">
        <v>21</v>
      </c>
      <c r="C68" s="61"/>
      <c r="D68" s="61"/>
      <c r="E68" s="61"/>
      <c r="F68" s="61"/>
      <c r="G68" s="61"/>
      <c r="H68" s="61"/>
      <c r="I68" s="61"/>
      <c r="J68" s="226"/>
      <c r="K68" s="18"/>
      <c r="L68" s="62"/>
    </row>
    <row r="69" spans="2:12" x14ac:dyDescent="0.3">
      <c r="B69" s="60" t="s">
        <v>24</v>
      </c>
      <c r="C69" s="61"/>
      <c r="D69" s="61"/>
      <c r="E69" s="61"/>
      <c r="F69" s="61"/>
      <c r="G69" s="61"/>
      <c r="H69" s="61"/>
      <c r="I69" s="61"/>
      <c r="J69" s="226"/>
      <c r="K69" s="18"/>
      <c r="L69" s="62"/>
    </row>
    <row r="70" spans="2:12" x14ac:dyDescent="0.3">
      <c r="B70" s="60" t="s">
        <v>22</v>
      </c>
      <c r="C70" s="61"/>
      <c r="D70" s="61"/>
      <c r="E70" s="61"/>
      <c r="F70" s="61"/>
      <c r="G70" s="61"/>
      <c r="H70" s="61"/>
      <c r="I70" s="61"/>
      <c r="J70" s="226"/>
      <c r="K70" s="18"/>
      <c r="L70" s="62"/>
    </row>
    <row r="71" spans="2:12" x14ac:dyDescent="0.3">
      <c r="B71" s="60" t="s">
        <v>272</v>
      </c>
      <c r="C71" s="61"/>
      <c r="D71" s="61"/>
      <c r="E71" s="61"/>
      <c r="F71" s="61"/>
      <c r="G71" s="61"/>
      <c r="H71" s="61"/>
      <c r="I71" s="61"/>
      <c r="J71" s="226"/>
      <c r="K71" s="18"/>
      <c r="L71" s="62"/>
    </row>
    <row r="72" spans="2:12" x14ac:dyDescent="0.3">
      <c r="B72" s="60" t="s">
        <v>23</v>
      </c>
      <c r="C72" s="61"/>
      <c r="D72" s="61"/>
      <c r="E72" s="61"/>
      <c r="F72" s="61"/>
      <c r="G72" s="61"/>
      <c r="H72" s="61"/>
      <c r="I72" s="61"/>
      <c r="J72" s="226"/>
      <c r="K72" s="18"/>
      <c r="L72" s="62"/>
    </row>
    <row r="73" spans="2:12" x14ac:dyDescent="0.3">
      <c r="B73" s="60"/>
      <c r="C73" s="61"/>
      <c r="D73" s="61"/>
      <c r="E73" s="61"/>
      <c r="F73" s="61"/>
      <c r="G73" s="61"/>
      <c r="H73" s="61"/>
      <c r="I73" s="61"/>
      <c r="J73" s="61"/>
      <c r="K73" s="61"/>
      <c r="L73" s="62"/>
    </row>
    <row r="74" spans="2:12" x14ac:dyDescent="0.3">
      <c r="B74" s="64"/>
      <c r="C74" s="45"/>
      <c r="D74" s="45"/>
      <c r="E74" s="45" t="s">
        <v>265</v>
      </c>
      <c r="F74" s="45"/>
      <c r="G74" s="45"/>
      <c r="H74" s="45" t="s">
        <v>258</v>
      </c>
      <c r="I74" s="45"/>
      <c r="J74" s="45"/>
      <c r="K74" s="45"/>
      <c r="L74" s="47"/>
    </row>
    <row r="75" spans="2:12" x14ac:dyDescent="0.3">
      <c r="B75" s="65" t="s">
        <v>25</v>
      </c>
      <c r="C75" s="31"/>
      <c r="D75" s="31"/>
      <c r="E75" s="217">
        <f>SUM(J68:J71)</f>
        <v>0</v>
      </c>
      <c r="F75" s="31"/>
      <c r="G75" s="31"/>
      <c r="H75" s="217">
        <f>H60-SUM(J68:J71)</f>
        <v>0</v>
      </c>
      <c r="I75" s="31"/>
      <c r="J75" s="31"/>
      <c r="K75" s="31"/>
      <c r="L75" s="50"/>
    </row>
    <row r="76" spans="2:12" x14ac:dyDescent="0.3">
      <c r="B76" s="66"/>
      <c r="C76" s="67"/>
      <c r="D76" s="67"/>
      <c r="E76" s="67"/>
      <c r="F76" s="67"/>
      <c r="G76" s="67"/>
      <c r="H76" s="67"/>
      <c r="I76" s="67"/>
      <c r="J76" s="67"/>
      <c r="K76" s="67"/>
      <c r="L76" s="68"/>
    </row>
    <row r="77" spans="2:12" x14ac:dyDescent="0.3">
      <c r="B77" s="69" t="s">
        <v>26</v>
      </c>
      <c r="C77" s="70"/>
      <c r="D77" s="70"/>
      <c r="E77" s="70"/>
      <c r="F77" s="70"/>
      <c r="G77" s="70"/>
      <c r="H77" s="70"/>
      <c r="I77" s="70"/>
      <c r="J77" s="70"/>
      <c r="K77" s="70"/>
      <c r="L77" s="71"/>
    </row>
    <row r="78" spans="2:12" x14ac:dyDescent="0.3">
      <c r="B78" s="57" t="s">
        <v>27</v>
      </c>
      <c r="C78" s="58"/>
      <c r="D78" s="58"/>
      <c r="E78" s="58"/>
      <c r="F78" s="58"/>
      <c r="G78" s="58"/>
      <c r="H78" s="58"/>
      <c r="I78" s="58"/>
      <c r="J78" s="58"/>
      <c r="K78" s="58"/>
      <c r="L78" s="59"/>
    </row>
    <row r="79" spans="2:12" x14ac:dyDescent="0.3">
      <c r="B79" s="60"/>
      <c r="C79" s="61"/>
      <c r="D79" s="61"/>
      <c r="E79" s="61"/>
      <c r="F79" s="61"/>
      <c r="G79" s="61"/>
      <c r="H79" s="61"/>
      <c r="I79" s="61"/>
      <c r="J79" s="61" t="s">
        <v>113</v>
      </c>
      <c r="K79" s="61"/>
      <c r="L79" s="62"/>
    </row>
    <row r="80" spans="2:12" x14ac:dyDescent="0.3">
      <c r="B80" s="17" t="s">
        <v>43</v>
      </c>
      <c r="C80" s="61"/>
      <c r="D80" s="61"/>
      <c r="E80" s="61"/>
      <c r="F80" s="61"/>
      <c r="G80" s="61"/>
      <c r="H80" s="61"/>
      <c r="I80" s="61"/>
      <c r="J80" s="226"/>
      <c r="K80" s="18"/>
      <c r="L80" s="62"/>
    </row>
    <row r="81" spans="2:12" x14ac:dyDescent="0.3">
      <c r="B81" s="18" t="s">
        <v>56</v>
      </c>
      <c r="C81" s="61"/>
      <c r="D81" s="61"/>
      <c r="E81" s="61"/>
      <c r="F81" s="61"/>
      <c r="G81" s="61"/>
      <c r="H81" s="61"/>
      <c r="I81" s="61"/>
      <c r="J81" s="226"/>
      <c r="K81" s="18"/>
      <c r="L81" s="62"/>
    </row>
    <row r="82" spans="2:12" x14ac:dyDescent="0.3">
      <c r="B82" s="18" t="s">
        <v>57</v>
      </c>
      <c r="C82" s="61"/>
      <c r="D82" s="61"/>
      <c r="E82" s="61"/>
      <c r="F82" s="61"/>
      <c r="G82" s="61"/>
      <c r="H82" s="61"/>
      <c r="I82" s="61"/>
      <c r="J82" s="226"/>
      <c r="K82" s="18"/>
      <c r="L82" s="62"/>
    </row>
    <row r="83" spans="2:12" x14ac:dyDescent="0.3">
      <c r="B83" s="18" t="s">
        <v>35</v>
      </c>
      <c r="C83" s="61"/>
      <c r="D83" s="61"/>
      <c r="E83" s="61"/>
      <c r="F83" s="61"/>
      <c r="G83" s="61"/>
      <c r="H83" s="61"/>
      <c r="I83" s="61"/>
      <c r="J83" s="226"/>
      <c r="K83" s="18"/>
      <c r="L83" s="62"/>
    </row>
    <row r="84" spans="2:12" x14ac:dyDescent="0.3">
      <c r="B84" s="72" t="s">
        <v>34</v>
      </c>
      <c r="C84" s="61"/>
      <c r="D84" s="61"/>
      <c r="E84" s="61"/>
      <c r="F84" s="61"/>
      <c r="G84" s="61"/>
      <c r="H84" s="61"/>
      <c r="I84" s="61"/>
      <c r="J84" s="226"/>
      <c r="K84" s="18"/>
      <c r="L84" s="62"/>
    </row>
    <row r="85" spans="2:12" x14ac:dyDescent="0.3">
      <c r="B85" s="72" t="s">
        <v>33</v>
      </c>
      <c r="C85" s="61"/>
      <c r="D85" s="61"/>
      <c r="E85" s="61"/>
      <c r="F85" s="61"/>
      <c r="G85" s="61"/>
      <c r="H85" s="61"/>
      <c r="I85" s="61"/>
      <c r="J85" s="226"/>
      <c r="K85" s="18"/>
      <c r="L85" s="62"/>
    </row>
    <row r="86" spans="2:12" x14ac:dyDescent="0.3">
      <c r="B86" s="72" t="s">
        <v>32</v>
      </c>
      <c r="C86" s="61"/>
      <c r="D86" s="61"/>
      <c r="E86" s="61"/>
      <c r="F86" s="61"/>
      <c r="G86" s="61"/>
      <c r="H86" s="61"/>
      <c r="I86" s="61"/>
      <c r="J86" s="226"/>
      <c r="K86" s="18"/>
      <c r="L86" s="62"/>
    </row>
    <row r="87" spans="2:12" x14ac:dyDescent="0.3">
      <c r="B87" s="72" t="s">
        <v>31</v>
      </c>
      <c r="C87" s="61"/>
      <c r="D87" s="61"/>
      <c r="E87" s="61"/>
      <c r="F87" s="61"/>
      <c r="G87" s="61"/>
      <c r="H87" s="61"/>
      <c r="I87" s="61"/>
      <c r="J87" s="226"/>
      <c r="K87" s="18"/>
      <c r="L87" s="62"/>
    </row>
    <row r="88" spans="2:12" x14ac:dyDescent="0.3">
      <c r="B88" s="72" t="s">
        <v>30</v>
      </c>
      <c r="C88" s="61"/>
      <c r="D88" s="61"/>
      <c r="E88" s="61"/>
      <c r="F88" s="61"/>
      <c r="G88" s="61"/>
      <c r="H88" s="61"/>
      <c r="I88" s="61"/>
      <c r="J88" s="226"/>
      <c r="K88" s="18"/>
      <c r="L88" s="62"/>
    </row>
    <row r="89" spans="2:12" x14ac:dyDescent="0.3">
      <c r="B89" s="72" t="s">
        <v>29</v>
      </c>
      <c r="C89" s="61"/>
      <c r="D89" s="61"/>
      <c r="E89" s="61"/>
      <c r="F89" s="61"/>
      <c r="G89" s="61"/>
      <c r="H89" s="61"/>
      <c r="I89" s="61"/>
      <c r="J89" s="226"/>
      <c r="K89" s="18"/>
      <c r="L89" s="62"/>
    </row>
    <row r="90" spans="2:12" x14ac:dyDescent="0.3">
      <c r="B90" s="72" t="s">
        <v>28</v>
      </c>
      <c r="C90" s="61"/>
      <c r="D90" s="61"/>
      <c r="E90" s="61"/>
      <c r="F90" s="61"/>
      <c r="G90" s="61"/>
      <c r="H90" s="61"/>
      <c r="I90" s="61"/>
      <c r="J90" s="226"/>
      <c r="K90" s="18"/>
      <c r="L90" s="62"/>
    </row>
    <row r="91" spans="2:12" x14ac:dyDescent="0.3">
      <c r="B91" s="72" t="s">
        <v>260</v>
      </c>
      <c r="C91" s="61"/>
      <c r="D91" s="61"/>
      <c r="E91" s="61"/>
      <c r="F91" s="61"/>
      <c r="G91" s="61"/>
      <c r="H91" s="61"/>
      <c r="I91" s="61"/>
      <c r="J91" s="226"/>
      <c r="K91" s="61"/>
      <c r="L91" s="62"/>
    </row>
    <row r="92" spans="2:12" x14ac:dyDescent="0.3">
      <c r="B92" s="73"/>
      <c r="C92" s="74"/>
      <c r="D92" s="61"/>
      <c r="E92" s="61"/>
      <c r="F92" s="74"/>
      <c r="G92" s="74"/>
      <c r="H92" s="74"/>
      <c r="I92" s="74"/>
      <c r="J92" s="74"/>
      <c r="K92" s="74"/>
      <c r="L92" s="75"/>
    </row>
    <row r="93" spans="2:12" x14ac:dyDescent="0.3">
      <c r="B93" s="64"/>
      <c r="C93" s="45"/>
      <c r="D93" s="45"/>
      <c r="E93" s="45" t="s">
        <v>264</v>
      </c>
      <c r="F93" s="45"/>
      <c r="G93" s="45"/>
      <c r="H93" s="45" t="s">
        <v>258</v>
      </c>
      <c r="I93" s="45"/>
      <c r="J93" s="45"/>
      <c r="K93" s="45"/>
      <c r="L93" s="47"/>
    </row>
    <row r="94" spans="2:12" x14ac:dyDescent="0.3">
      <c r="B94" s="65" t="s">
        <v>37</v>
      </c>
      <c r="C94" s="31"/>
      <c r="D94" s="31"/>
      <c r="E94" s="217">
        <f>SUM(J80:J91)</f>
        <v>0</v>
      </c>
      <c r="F94" s="31"/>
      <c r="G94" s="31"/>
      <c r="H94" s="217">
        <f>H75-SUM(J80:J91)</f>
        <v>0</v>
      </c>
      <c r="I94" s="31"/>
      <c r="J94" s="31"/>
      <c r="K94" s="31"/>
      <c r="L94" s="50"/>
    </row>
    <row r="95" spans="2:12" x14ac:dyDescent="0.3">
      <c r="B95" s="66"/>
      <c r="C95" s="67"/>
      <c r="D95" s="67"/>
      <c r="E95" s="67"/>
      <c r="F95" s="67"/>
      <c r="G95" s="67"/>
      <c r="H95" s="67"/>
      <c r="I95" s="67"/>
      <c r="J95" s="67"/>
      <c r="K95" s="67"/>
      <c r="L95" s="68"/>
    </row>
    <row r="96" spans="2:12" ht="15" thickBot="1" x14ac:dyDescent="0.35">
      <c r="B96" s="31"/>
      <c r="C96" s="31"/>
      <c r="D96" s="31"/>
      <c r="E96" s="31"/>
      <c r="F96" s="31"/>
      <c r="G96" s="31"/>
      <c r="H96" s="31"/>
      <c r="I96" s="31"/>
      <c r="J96" s="31"/>
      <c r="K96" s="31"/>
      <c r="L96" s="31"/>
    </row>
    <row r="97" spans="2:19" ht="15" thickBot="1" x14ac:dyDescent="0.35">
      <c r="B97" s="283" t="s">
        <v>48</v>
      </c>
      <c r="C97" s="284"/>
      <c r="D97" s="284"/>
      <c r="E97" s="284"/>
      <c r="F97" s="284"/>
      <c r="G97" s="284"/>
      <c r="H97" s="284"/>
      <c r="I97" s="284"/>
      <c r="J97" s="284"/>
      <c r="K97" s="284"/>
      <c r="L97" s="284"/>
      <c r="M97" s="284"/>
      <c r="N97" s="284"/>
      <c r="O97" s="284"/>
      <c r="P97" s="111"/>
      <c r="Q97" s="111"/>
    </row>
    <row r="98" spans="2:19" x14ac:dyDescent="0.3">
      <c r="B98" s="86"/>
      <c r="C98" s="87"/>
      <c r="D98" s="87"/>
      <c r="E98" s="87"/>
      <c r="F98" s="87"/>
      <c r="G98" s="87"/>
      <c r="H98" s="87"/>
      <c r="I98" s="281" t="s">
        <v>164</v>
      </c>
      <c r="J98" s="282"/>
      <c r="K98" s="282"/>
      <c r="L98" s="282"/>
      <c r="M98" s="87"/>
      <c r="N98" s="87"/>
      <c r="O98" s="87"/>
    </row>
    <row r="99" spans="2:19" ht="43.8" thickBot="1" x14ac:dyDescent="0.35">
      <c r="B99" s="295"/>
      <c r="C99" s="296"/>
      <c r="D99" s="296"/>
      <c r="E99" s="296"/>
      <c r="F99" s="296"/>
      <c r="G99" s="164"/>
      <c r="H99" s="87"/>
      <c r="I99" s="104"/>
      <c r="J99" s="105"/>
      <c r="K99" s="99" t="s">
        <v>143</v>
      </c>
      <c r="L99" s="106" t="s">
        <v>146</v>
      </c>
      <c r="M99" s="87"/>
      <c r="N99" s="87"/>
      <c r="O99" s="87"/>
    </row>
    <row r="100" spans="2:19" ht="30" customHeight="1" x14ac:dyDescent="0.3">
      <c r="B100" s="86"/>
      <c r="C100" s="87"/>
      <c r="D100" s="87"/>
      <c r="E100" s="87"/>
      <c r="F100" s="87"/>
      <c r="G100" s="87"/>
      <c r="H100" s="87"/>
      <c r="I100" s="290" t="s">
        <v>144</v>
      </c>
      <c r="J100" s="89" t="s">
        <v>135</v>
      </c>
      <c r="K100" s="100"/>
      <c r="L100" s="107"/>
      <c r="M100" s="87"/>
      <c r="N100" s="87"/>
      <c r="O100" s="87"/>
    </row>
    <row r="101" spans="2:19" ht="28.8" x14ac:dyDescent="0.3">
      <c r="B101" s="86"/>
      <c r="C101" s="87"/>
      <c r="D101" s="87"/>
      <c r="E101" s="87"/>
      <c r="F101" s="87"/>
      <c r="G101" s="87"/>
      <c r="H101" s="87"/>
      <c r="I101" s="291"/>
      <c r="J101" s="90" t="s">
        <v>136</v>
      </c>
      <c r="K101" s="100"/>
      <c r="L101" s="107"/>
      <c r="M101" s="87"/>
      <c r="N101" s="87"/>
      <c r="O101" s="208"/>
    </row>
    <row r="102" spans="2:19" x14ac:dyDescent="0.3">
      <c r="B102" s="86"/>
      <c r="C102" s="87"/>
      <c r="D102" s="87"/>
      <c r="E102" s="87"/>
      <c r="F102" s="87"/>
      <c r="G102" s="87"/>
      <c r="H102" s="87"/>
      <c r="I102" s="291"/>
      <c r="J102" s="90" t="s">
        <v>137</v>
      </c>
      <c r="K102" s="100"/>
      <c r="L102" s="107"/>
      <c r="M102" s="87"/>
      <c r="N102" s="87"/>
      <c r="O102" s="87"/>
    </row>
    <row r="103" spans="2:19" ht="29.4" thickBot="1" x14ac:dyDescent="0.35">
      <c r="B103" s="86"/>
      <c r="C103" s="87"/>
      <c r="D103" s="87"/>
      <c r="E103" s="87"/>
      <c r="F103" s="87"/>
      <c r="G103" s="87"/>
      <c r="H103" s="87"/>
      <c r="I103" s="291"/>
      <c r="J103" s="90" t="s">
        <v>138</v>
      </c>
      <c r="K103" s="100"/>
      <c r="L103" s="108"/>
      <c r="M103" s="87"/>
      <c r="N103" s="87"/>
      <c r="O103" s="87"/>
    </row>
    <row r="104" spans="2:19" ht="29.4" thickBot="1" x14ac:dyDescent="0.35">
      <c r="B104" s="86"/>
      <c r="C104" s="87"/>
      <c r="D104" s="87"/>
      <c r="E104" s="87"/>
      <c r="F104" s="87"/>
      <c r="G104" s="87"/>
      <c r="H104" s="87"/>
      <c r="I104" s="292"/>
      <c r="J104" s="90" t="s">
        <v>192</v>
      </c>
      <c r="K104" s="163"/>
      <c r="L104" s="162"/>
      <c r="M104" s="87"/>
      <c r="N104" s="87"/>
      <c r="O104" s="87"/>
    </row>
    <row r="105" spans="2:19" x14ac:dyDescent="0.3">
      <c r="B105" s="86"/>
      <c r="C105" s="87"/>
      <c r="D105" s="87"/>
      <c r="E105" s="87"/>
      <c r="F105" s="87"/>
      <c r="G105" s="87"/>
      <c r="H105" s="87"/>
      <c r="I105" s="293" t="s">
        <v>71</v>
      </c>
      <c r="J105" s="90" t="s">
        <v>139</v>
      </c>
      <c r="K105" s="100"/>
      <c r="L105" s="165"/>
      <c r="M105" s="87"/>
      <c r="N105" s="87"/>
      <c r="O105" s="87"/>
    </row>
    <row r="106" spans="2:19" x14ac:dyDescent="0.3">
      <c r="B106" s="86"/>
      <c r="C106" s="87"/>
      <c r="D106" s="87"/>
      <c r="E106" s="87"/>
      <c r="F106" s="87"/>
      <c r="G106" s="87"/>
      <c r="H106" s="87"/>
      <c r="I106" s="291"/>
      <c r="J106" s="90" t="s">
        <v>191</v>
      </c>
      <c r="K106" s="163"/>
      <c r="L106" s="165"/>
      <c r="M106" s="87"/>
      <c r="N106" s="87"/>
      <c r="O106" s="87"/>
    </row>
    <row r="107" spans="2:19" ht="26.4" customHeight="1" x14ac:dyDescent="0.3">
      <c r="B107" s="86"/>
      <c r="C107" s="87"/>
      <c r="D107" s="87"/>
      <c r="E107" s="87"/>
      <c r="F107" s="87"/>
      <c r="G107" s="87"/>
      <c r="H107" s="87"/>
      <c r="I107" s="291"/>
      <c r="J107" s="90" t="s">
        <v>149</v>
      </c>
      <c r="K107" s="100"/>
      <c r="L107" s="165"/>
      <c r="M107" s="87"/>
      <c r="N107" s="87"/>
      <c r="O107" s="87"/>
    </row>
    <row r="108" spans="2:19" ht="28.8" x14ac:dyDescent="0.3">
      <c r="B108" s="86"/>
      <c r="C108" s="87"/>
      <c r="D108" s="87"/>
      <c r="E108" s="87"/>
      <c r="F108" s="87"/>
      <c r="G108" s="87"/>
      <c r="H108" s="87"/>
      <c r="I108" s="292"/>
      <c r="J108" s="90" t="s">
        <v>150</v>
      </c>
      <c r="K108" s="100"/>
      <c r="L108" s="165"/>
      <c r="M108" s="87"/>
      <c r="N108" s="87"/>
      <c r="O108" s="87"/>
    </row>
    <row r="109" spans="2:19" x14ac:dyDescent="0.3">
      <c r="B109" s="86"/>
      <c r="C109" s="87"/>
      <c r="D109" s="87"/>
      <c r="E109" s="87"/>
      <c r="F109" s="87"/>
      <c r="G109" s="87"/>
      <c r="H109" s="87"/>
      <c r="I109" s="293" t="s">
        <v>145</v>
      </c>
      <c r="J109" s="90" t="s">
        <v>140</v>
      </c>
      <c r="K109" s="100"/>
      <c r="L109" s="107"/>
      <c r="M109" s="87"/>
      <c r="N109" s="87"/>
      <c r="O109" s="87"/>
    </row>
    <row r="110" spans="2:19" x14ac:dyDescent="0.3">
      <c r="B110" s="86"/>
      <c r="C110" s="87"/>
      <c r="D110" s="87"/>
      <c r="E110" s="87"/>
      <c r="F110" s="87"/>
      <c r="G110" s="87"/>
      <c r="H110" s="87"/>
      <c r="I110" s="291"/>
      <c r="J110" s="90" t="s">
        <v>141</v>
      </c>
      <c r="K110" s="100"/>
      <c r="L110" s="107"/>
      <c r="M110" s="87"/>
      <c r="N110" s="87"/>
      <c r="O110" s="87"/>
    </row>
    <row r="111" spans="2:19" ht="15" thickBot="1" x14ac:dyDescent="0.35">
      <c r="B111" s="86"/>
      <c r="C111" s="87"/>
      <c r="D111" s="87"/>
      <c r="E111" s="87"/>
      <c r="F111" s="87"/>
      <c r="G111" s="87"/>
      <c r="H111" s="87"/>
      <c r="I111" s="294"/>
      <c r="J111" s="91" t="s">
        <v>142</v>
      </c>
      <c r="K111" s="14"/>
      <c r="L111" s="108"/>
      <c r="M111" s="87"/>
      <c r="N111" s="87"/>
      <c r="O111" s="87"/>
      <c r="S111"/>
    </row>
    <row r="112" spans="2:19" customFormat="1" ht="15" thickBot="1" x14ac:dyDescent="0.35">
      <c r="B112" s="88"/>
      <c r="C112" s="87"/>
      <c r="D112" s="87"/>
      <c r="E112" s="87"/>
      <c r="F112" s="87"/>
      <c r="G112" s="87"/>
      <c r="H112" s="87"/>
      <c r="I112" s="92"/>
      <c r="J112" s="93" t="s">
        <v>123</v>
      </c>
      <c r="K112" s="161"/>
      <c r="L112" s="235">
        <f>L100+L103+L104+L106+L109+L111</f>
        <v>0</v>
      </c>
      <c r="M112" s="87"/>
      <c r="N112" s="87"/>
      <c r="O112" s="88"/>
    </row>
    <row r="113" spans="2:22" customFormat="1" x14ac:dyDescent="0.3">
      <c r="B113" s="88"/>
      <c r="C113" s="87"/>
      <c r="D113" s="87"/>
      <c r="E113" s="87"/>
      <c r="F113" s="87"/>
      <c r="G113" s="87"/>
      <c r="H113" s="87"/>
      <c r="I113" s="88"/>
      <c r="J113" s="88"/>
      <c r="K113" s="88"/>
      <c r="L113" s="88"/>
      <c r="M113" s="88"/>
      <c r="N113" s="88"/>
      <c r="O113" s="88"/>
    </row>
    <row r="114" spans="2:22" ht="15" thickBot="1" x14ac:dyDescent="0.35">
      <c r="B114" s="285" t="s">
        <v>114</v>
      </c>
      <c r="C114" s="286"/>
      <c r="D114" s="286"/>
      <c r="E114" s="286"/>
      <c r="F114" s="286"/>
      <c r="G114" s="286"/>
      <c r="H114" s="286"/>
      <c r="I114" s="286"/>
      <c r="J114" s="286"/>
      <c r="K114" s="286"/>
      <c r="L114" s="286"/>
      <c r="M114" s="286"/>
      <c r="N114" s="286"/>
      <c r="O114" s="286"/>
      <c r="P114" s="112"/>
      <c r="Q114" s="112"/>
    </row>
    <row r="115" spans="2:22" ht="15" thickBot="1" x14ac:dyDescent="0.35">
      <c r="B115" s="94"/>
      <c r="C115" s="95"/>
      <c r="D115" s="95"/>
      <c r="E115" s="95"/>
      <c r="F115" s="95"/>
      <c r="G115" s="95"/>
      <c r="H115" s="95"/>
      <c r="I115" s="95"/>
      <c r="J115" s="95"/>
      <c r="K115" s="95"/>
      <c r="L115" s="95"/>
      <c r="M115" s="270" t="s">
        <v>287</v>
      </c>
      <c r="N115" s="271"/>
      <c r="O115" s="272"/>
      <c r="P115" s="113"/>
      <c r="Q115" s="113"/>
    </row>
    <row r="116" spans="2:22" ht="57.6" x14ac:dyDescent="0.3">
      <c r="B116" s="183" t="s">
        <v>119</v>
      </c>
      <c r="C116" s="184" t="s">
        <v>228</v>
      </c>
      <c r="D116" s="185" t="s">
        <v>124</v>
      </c>
      <c r="E116" s="191" t="s">
        <v>147</v>
      </c>
      <c r="F116" s="184" t="s">
        <v>122</v>
      </c>
      <c r="G116" s="186" t="s">
        <v>124</v>
      </c>
      <c r="H116" s="191" t="s">
        <v>151</v>
      </c>
      <c r="I116" s="190" t="s">
        <v>148</v>
      </c>
      <c r="J116" s="202" t="s">
        <v>227</v>
      </c>
      <c r="K116" s="203" t="s">
        <v>124</v>
      </c>
      <c r="L116" s="190" t="s">
        <v>103</v>
      </c>
      <c r="M116" s="256" t="s">
        <v>286</v>
      </c>
      <c r="N116" s="257" t="s">
        <v>280</v>
      </c>
      <c r="O116" s="258" t="s">
        <v>281</v>
      </c>
      <c r="P116" s="114"/>
      <c r="U116" s="31"/>
      <c r="V116" s="31"/>
    </row>
    <row r="117" spans="2:22" ht="15" x14ac:dyDescent="0.35">
      <c r="B117" s="222"/>
      <c r="C117" s="197" t="str">
        <f>IFERROR(VLOOKUP(B117,'Price List'!$F$5:$I$26,2,FALSE)*I117,"")</f>
        <v/>
      </c>
      <c r="D117" s="198" t="str">
        <f>IFERROR(VLOOKUP(B117,'Price List'!$F$5:$I$26,3,FALSE),"")</f>
        <v/>
      </c>
      <c r="E117" s="192"/>
      <c r="F117" s="229"/>
      <c r="G117" s="201" t="str">
        <f>IFERROR(VLOOKUP(B117,'Price List'!$F$5:$K$26,6,FALSE),"")</f>
        <v/>
      </c>
      <c r="H117" s="195"/>
      <c r="I117" s="163"/>
      <c r="J117" s="204" t="str">
        <f>IFERROR(VLOOKUP(B117,'Price List'!$F$5:$J$26,4,FALSE),"")</f>
        <v/>
      </c>
      <c r="K117" s="205" t="str">
        <f>IFERROR(VLOOKUP(B117,'Price List'!$F$5:$J$26,5,FALSE),"")</f>
        <v/>
      </c>
      <c r="L117" s="251" t="str">
        <f>IF(J117&lt;&gt;"",F117*I117*J117*H117,"")</f>
        <v/>
      </c>
      <c r="M117" s="259" t="str">
        <f>IFERROR(VLOOKUP(B117,'Price List'!$F$5:$M$26,7,FALSE),"")</f>
        <v/>
      </c>
      <c r="N117" s="260" t="str">
        <f>IFERROR(VLOOKUP(B117,'Price List'!$F$5:$M$26,8,FALSE),"")</f>
        <v/>
      </c>
      <c r="O117" s="266" t="str">
        <f>IFERROR(F117*N117/1000,"")</f>
        <v/>
      </c>
      <c r="U117" s="31"/>
    </row>
    <row r="118" spans="2:22" ht="15" x14ac:dyDescent="0.35">
      <c r="B118" s="223"/>
      <c r="C118" s="197" t="str">
        <f>IFERROR(VLOOKUP(B118,'Price List'!$F$5:$I$26,2,FALSE)*I118,"")</f>
        <v/>
      </c>
      <c r="D118" s="198" t="str">
        <f>IFERROR(VLOOKUP(B118,'Price List'!$F$5:$I$26,3,FALSE),"")</f>
        <v/>
      </c>
      <c r="E118" s="192"/>
      <c r="F118" s="229"/>
      <c r="G118" s="201" t="str">
        <f>IFERROR(VLOOKUP(B118,'Price List'!$F$5:$K$26,6,FALSE),"")</f>
        <v/>
      </c>
      <c r="H118" s="196"/>
      <c r="I118" s="163"/>
      <c r="J118" s="204" t="str">
        <f>IFERROR(VLOOKUP(B118,'Price List'!$F$5:$J$26,4,FALSE),"")</f>
        <v/>
      </c>
      <c r="K118" s="205" t="str">
        <f>IFERROR(VLOOKUP(B118,'Price List'!$F$5:$J$26,5,FALSE),"")</f>
        <v/>
      </c>
      <c r="L118" s="251" t="str">
        <f t="shared" ref="L118:L127" si="6">IF(J118&lt;&gt;"",F118*I118*J118*H118,"")</f>
        <v/>
      </c>
      <c r="M118" s="259" t="str">
        <f>IFERROR(VLOOKUP(B118,'Price List'!$F$5:$M$26,7,FALSE),"")</f>
        <v/>
      </c>
      <c r="N118" s="260" t="str">
        <f>IFERROR(VLOOKUP(B118,'Price List'!$F$5:$M$26,8,FALSE),"")</f>
        <v/>
      </c>
      <c r="O118" s="266" t="str">
        <f t="shared" ref="O118:O143" si="7">IFERROR(F118*N118/1000,"")</f>
        <v/>
      </c>
      <c r="U118" s="31"/>
    </row>
    <row r="119" spans="2:22" ht="15" x14ac:dyDescent="0.35">
      <c r="B119" s="223"/>
      <c r="C119" s="197" t="str">
        <f>IFERROR(VLOOKUP(B119,'Price List'!$F$5:$I$26,2,FALSE)*I119,"")</f>
        <v/>
      </c>
      <c r="D119" s="198" t="str">
        <f>IFERROR(VLOOKUP(B119,'Price List'!$F$5:$I$26,3,FALSE),"")</f>
        <v/>
      </c>
      <c r="E119" s="192"/>
      <c r="F119" s="229"/>
      <c r="G119" s="201" t="str">
        <f>IFERROR(VLOOKUP(B119,'Price List'!$F$5:$K$26,6,FALSE),"")</f>
        <v/>
      </c>
      <c r="H119" s="196"/>
      <c r="I119" s="163"/>
      <c r="J119" s="204" t="str">
        <f>IFERROR(VLOOKUP(B119,'Price List'!$F$5:$J$26,4,FALSE),"")</f>
        <v/>
      </c>
      <c r="K119" s="205" t="str">
        <f>IFERROR(VLOOKUP(B119,'Price List'!$F$5:$J$26,5,FALSE),"")</f>
        <v/>
      </c>
      <c r="L119" s="251" t="str">
        <f t="shared" si="6"/>
        <v/>
      </c>
      <c r="M119" s="259" t="str">
        <f>IFERROR(VLOOKUP(B119,'Price List'!$F$5:$M$26,7,FALSE),"")</f>
        <v/>
      </c>
      <c r="N119" s="260" t="str">
        <f>IFERROR(VLOOKUP(B119,'Price List'!$F$5:$M$26,8,FALSE),"")</f>
        <v/>
      </c>
      <c r="O119" s="266" t="str">
        <f t="shared" si="7"/>
        <v/>
      </c>
      <c r="U119" s="31"/>
    </row>
    <row r="120" spans="2:22" ht="15" x14ac:dyDescent="0.35">
      <c r="B120" s="223"/>
      <c r="C120" s="243"/>
      <c r="D120" s="198" t="str">
        <f>IFERROR(VLOOKUP(B120,'Price List'!$F$5:$I$26,3,FALSE),"")</f>
        <v/>
      </c>
      <c r="E120" s="192"/>
      <c r="F120" s="229"/>
      <c r="G120" s="201" t="str">
        <f>IFERROR(VLOOKUP(B120,'Price List'!$F$5:$K$26,6,FALSE),"")</f>
        <v/>
      </c>
      <c r="H120" s="196"/>
      <c r="I120" s="163"/>
      <c r="J120" s="204" t="str">
        <f>IFERROR(VLOOKUP(B120,'Price List'!$F$5:$J$26,4,FALSE),"")</f>
        <v/>
      </c>
      <c r="K120" s="205" t="str">
        <f>IFERROR(VLOOKUP(B120,'Price List'!$F$5:$J$26,5,FALSE),"")</f>
        <v/>
      </c>
      <c r="L120" s="251" t="str">
        <f t="shared" si="6"/>
        <v/>
      </c>
      <c r="M120" s="259" t="str">
        <f>IFERROR(VLOOKUP(B120,'Price List'!$F$5:$M$26,7,FALSE),"")</f>
        <v/>
      </c>
      <c r="N120" s="260" t="str">
        <f>IFERROR(VLOOKUP(B120,'Price List'!$F$5:$M$26,8,FALSE),"")</f>
        <v/>
      </c>
      <c r="O120" s="266" t="str">
        <f t="shared" si="7"/>
        <v/>
      </c>
      <c r="U120" s="31"/>
    </row>
    <row r="121" spans="2:22" ht="15" x14ac:dyDescent="0.35">
      <c r="B121" s="223"/>
      <c r="C121" s="197" t="str">
        <f>IFERROR(VLOOKUP(B121,'Price List'!$F$5:$I$26,2,FALSE)*I121,"")</f>
        <v/>
      </c>
      <c r="D121" s="198" t="str">
        <f>IFERROR(VLOOKUP(B121,'Price List'!$F$5:$I$26,3,FALSE),"")</f>
        <v/>
      </c>
      <c r="E121" s="192"/>
      <c r="F121" s="229"/>
      <c r="G121" s="201" t="str">
        <f>IFERROR(VLOOKUP(B121,'Price List'!$F$5:$K$26,6,FALSE),"")</f>
        <v/>
      </c>
      <c r="H121" s="196"/>
      <c r="I121" s="163"/>
      <c r="J121" s="204" t="str">
        <f>IFERROR(VLOOKUP(B121,'Price List'!$F$5:$J$26,4,FALSE),"")</f>
        <v/>
      </c>
      <c r="K121" s="205" t="str">
        <f>IFERROR(VLOOKUP(B121,'Price List'!$F$5:$J$26,5,FALSE),"")</f>
        <v/>
      </c>
      <c r="L121" s="251" t="str">
        <f t="shared" si="6"/>
        <v/>
      </c>
      <c r="M121" s="259" t="str">
        <f>IFERROR(VLOOKUP(B121,'Price List'!$F$5:$M$26,7,FALSE),"")</f>
        <v/>
      </c>
      <c r="N121" s="260" t="str">
        <f>IFERROR(VLOOKUP(B121,'Price List'!$F$5:$M$26,8,FALSE),"")</f>
        <v/>
      </c>
      <c r="O121" s="266" t="str">
        <f t="shared" si="7"/>
        <v/>
      </c>
      <c r="U121" s="31"/>
    </row>
    <row r="122" spans="2:22" ht="15" x14ac:dyDescent="0.35">
      <c r="B122" s="223"/>
      <c r="C122" s="197" t="str">
        <f>IFERROR(VLOOKUP(B122,'Price List'!$F$5:$I$26,2,FALSE)*I122,"")</f>
        <v/>
      </c>
      <c r="D122" s="198" t="str">
        <f>IFERROR(VLOOKUP(B122,'Price List'!$F$5:$I$26,3,FALSE),"")</f>
        <v/>
      </c>
      <c r="E122" s="192"/>
      <c r="F122" s="229"/>
      <c r="G122" s="201" t="str">
        <f>IFERROR(VLOOKUP(B122,'Price List'!$F$5:$K$26,6,FALSE),"")</f>
        <v/>
      </c>
      <c r="H122" s="196"/>
      <c r="I122" s="163"/>
      <c r="J122" s="204" t="str">
        <f>IFERROR(VLOOKUP(B122,'Price List'!$F$5:$J$26,4,FALSE),"")</f>
        <v/>
      </c>
      <c r="K122" s="205" t="str">
        <f>IFERROR(VLOOKUP(B122,'Price List'!$F$5:$J$26,5,FALSE),"")</f>
        <v/>
      </c>
      <c r="L122" s="251" t="str">
        <f t="shared" si="6"/>
        <v/>
      </c>
      <c r="M122" s="259" t="str">
        <f>IFERROR(VLOOKUP(B122,'Price List'!$F$5:$M$26,7,FALSE),"")</f>
        <v/>
      </c>
      <c r="N122" s="260" t="str">
        <f>IFERROR(VLOOKUP(B122,'Price List'!$F$5:$M$26,8,FALSE),"")</f>
        <v/>
      </c>
      <c r="O122" s="266" t="str">
        <f t="shared" si="7"/>
        <v/>
      </c>
      <c r="U122" s="31"/>
    </row>
    <row r="123" spans="2:22" ht="15" x14ac:dyDescent="0.35">
      <c r="B123" s="223"/>
      <c r="C123" s="197" t="str">
        <f>IFERROR(VLOOKUP(B123,'Price List'!$F$5:$I$26,2,FALSE)*I123,"")</f>
        <v/>
      </c>
      <c r="D123" s="198" t="str">
        <f>IFERROR(VLOOKUP(B123,'Price List'!$F$5:$I$26,3,FALSE),"")</f>
        <v/>
      </c>
      <c r="E123" s="192"/>
      <c r="F123" s="229"/>
      <c r="G123" s="201" t="str">
        <f>IFERROR(VLOOKUP(B123,'Price List'!$F$5:$K$26,6,FALSE),"")</f>
        <v/>
      </c>
      <c r="H123" s="196"/>
      <c r="I123" s="163"/>
      <c r="J123" s="204" t="str">
        <f>IFERROR(VLOOKUP(B123,'Price List'!$F$5:$J$26,4,FALSE),"")</f>
        <v/>
      </c>
      <c r="K123" s="205" t="str">
        <f>IFERROR(VLOOKUP(B123,'Price List'!$F$5:$J$26,5,FALSE),"")</f>
        <v/>
      </c>
      <c r="L123" s="251" t="str">
        <f t="shared" si="6"/>
        <v/>
      </c>
      <c r="M123" s="259" t="str">
        <f>IFERROR(VLOOKUP(B123,'Price List'!$F$5:$M$26,7,FALSE),"")</f>
        <v/>
      </c>
      <c r="N123" s="260" t="str">
        <f>IFERROR(VLOOKUP(B123,'Price List'!$F$5:$M$26,8,FALSE),"")</f>
        <v/>
      </c>
      <c r="O123" s="266" t="str">
        <f t="shared" si="7"/>
        <v/>
      </c>
      <c r="U123" s="31"/>
    </row>
    <row r="124" spans="2:22" ht="15" outlineLevel="1" x14ac:dyDescent="0.35">
      <c r="B124" s="223"/>
      <c r="C124" s="197" t="str">
        <f>IFERROR(VLOOKUP(B124,'Price List'!$F$5:$I$26,2,FALSE)*I124,"")</f>
        <v/>
      </c>
      <c r="D124" s="198" t="str">
        <f>IFERROR(VLOOKUP(B124,'Price List'!$F$5:$I$26,3,FALSE),"")</f>
        <v/>
      </c>
      <c r="E124" s="192"/>
      <c r="F124" s="229"/>
      <c r="G124" s="201" t="str">
        <f>IFERROR(VLOOKUP(B124,'Price List'!$F$5:$K$26,6,FALSE),"")</f>
        <v/>
      </c>
      <c r="H124" s="196"/>
      <c r="I124" s="163"/>
      <c r="J124" s="204" t="str">
        <f>IFERROR(VLOOKUP(B124,'Price List'!$F$5:$J$26,4,FALSE),"")</f>
        <v/>
      </c>
      <c r="K124" s="205" t="str">
        <f>IFERROR(VLOOKUP(B124,'Price List'!$F$5:$J$26,5,FALSE),"")</f>
        <v/>
      </c>
      <c r="L124" s="251" t="str">
        <f t="shared" si="6"/>
        <v/>
      </c>
      <c r="M124" s="259" t="str">
        <f>IFERROR(VLOOKUP(B124,'Price List'!$F$5:$M$26,7,FALSE),"")</f>
        <v/>
      </c>
      <c r="N124" s="260" t="str">
        <f>IFERROR(VLOOKUP(B124,'Price List'!$F$5:$M$26,8,FALSE),"")</f>
        <v/>
      </c>
      <c r="O124" s="266" t="str">
        <f t="shared" si="7"/>
        <v/>
      </c>
      <c r="U124" s="31"/>
    </row>
    <row r="125" spans="2:22" ht="15" outlineLevel="1" x14ac:dyDescent="0.35">
      <c r="B125" s="223"/>
      <c r="C125" s="197" t="str">
        <f>IFERROR(VLOOKUP(B125,'Price List'!$F$5:$I$26,2,FALSE)*I125,"")</f>
        <v/>
      </c>
      <c r="D125" s="198" t="str">
        <f>IFERROR(VLOOKUP(B125,'Price List'!$F$5:$I$26,3,FALSE),"")</f>
        <v/>
      </c>
      <c r="E125" s="192"/>
      <c r="F125" s="229"/>
      <c r="G125" s="201" t="str">
        <f>IFERROR(VLOOKUP(B125,'Price List'!$F$5:$K$26,6,FALSE),"")</f>
        <v/>
      </c>
      <c r="H125" s="196"/>
      <c r="I125" s="163"/>
      <c r="J125" s="204" t="str">
        <f>IFERROR(VLOOKUP(B125,'Price List'!$F$5:$J$26,4,FALSE),"")</f>
        <v/>
      </c>
      <c r="K125" s="205" t="str">
        <f>IFERROR(VLOOKUP(B125,'Price List'!$F$5:$J$26,5,FALSE),"")</f>
        <v/>
      </c>
      <c r="L125" s="251" t="str">
        <f t="shared" si="6"/>
        <v/>
      </c>
      <c r="M125" s="259" t="str">
        <f>IFERROR(VLOOKUP(B125,'Price List'!$F$5:$M$26,7,FALSE),"")</f>
        <v/>
      </c>
      <c r="N125" s="260" t="str">
        <f>IFERROR(VLOOKUP(B125,'Price List'!$F$5:$M$26,8,FALSE),"")</f>
        <v/>
      </c>
      <c r="O125" s="266" t="str">
        <f t="shared" si="7"/>
        <v/>
      </c>
      <c r="U125" s="31"/>
    </row>
    <row r="126" spans="2:22" ht="15" outlineLevel="1" x14ac:dyDescent="0.35">
      <c r="B126" s="223"/>
      <c r="C126" s="197" t="str">
        <f>IFERROR(VLOOKUP(B126,'Price List'!$F$5:$I$26,2,FALSE)*I126,"")</f>
        <v/>
      </c>
      <c r="D126" s="198" t="str">
        <f>IFERROR(VLOOKUP(B126,'Price List'!$F$5:$I$26,3,FALSE),"")</f>
        <v/>
      </c>
      <c r="E126" s="192"/>
      <c r="F126" s="230"/>
      <c r="G126" s="201" t="str">
        <f>IFERROR(VLOOKUP(B126,'Price List'!$F$5:$K$26,6,FALSE),"")</f>
        <v/>
      </c>
      <c r="H126" s="180"/>
      <c r="I126" s="169"/>
      <c r="J126" s="204" t="str">
        <f>IFERROR(VLOOKUP(B126,'Price List'!$F$5:$J$26,4,FALSE),"")</f>
        <v/>
      </c>
      <c r="K126" s="205" t="str">
        <f>IFERROR(VLOOKUP(B126,'Price List'!$F$5:$J$26,5,FALSE),"")</f>
        <v/>
      </c>
      <c r="L126" s="251" t="str">
        <f t="shared" si="6"/>
        <v/>
      </c>
      <c r="M126" s="259" t="str">
        <f>IFERROR(VLOOKUP(B126,'Price List'!$F$5:$M$26,7,FALSE),"")</f>
        <v/>
      </c>
      <c r="N126" s="260" t="str">
        <f>IFERROR(VLOOKUP(B126,'Price List'!$F$5:$M$26,8,FALSE),"")</f>
        <v/>
      </c>
      <c r="O126" s="261" t="str">
        <f t="shared" si="7"/>
        <v/>
      </c>
      <c r="U126" s="31"/>
    </row>
    <row r="127" spans="2:22" ht="15" outlineLevel="1" x14ac:dyDescent="0.35">
      <c r="B127" s="223"/>
      <c r="C127" s="197" t="str">
        <f>IFERROR(VLOOKUP(B127,'Price List'!$F$5:$I$26,2,FALSE)*I127,"")</f>
        <v/>
      </c>
      <c r="D127" s="198" t="str">
        <f>IFERROR(VLOOKUP(B127,'Price List'!$F$5:$I$26,3,FALSE),"")</f>
        <v/>
      </c>
      <c r="E127" s="193"/>
      <c r="F127" s="230"/>
      <c r="G127" s="201" t="str">
        <f>IFERROR(VLOOKUP(B127,'Price List'!$F$5:$K$26,6,FALSE),"")</f>
        <v/>
      </c>
      <c r="H127" s="180"/>
      <c r="I127" s="169"/>
      <c r="J127" s="204" t="str">
        <f>IFERROR(VLOOKUP(B127,'Price List'!$F$5:$J$26,4,FALSE),"")</f>
        <v/>
      </c>
      <c r="K127" s="205" t="str">
        <f>IFERROR(VLOOKUP(B127,'Price List'!$F$5:$J$26,5,FALSE),"")</f>
        <v/>
      </c>
      <c r="L127" s="251" t="str">
        <f t="shared" si="6"/>
        <v/>
      </c>
      <c r="M127" s="259" t="str">
        <f>IFERROR(VLOOKUP(B127,'Price List'!$F$5:$M$26,7,FALSE),"")</f>
        <v/>
      </c>
      <c r="N127" s="260" t="str">
        <f>IFERROR(VLOOKUP(B127,'Price List'!$F$5:$M$26,8,FALSE),"")</f>
        <v/>
      </c>
      <c r="O127" s="261" t="str">
        <f t="shared" si="7"/>
        <v/>
      </c>
      <c r="U127" s="31"/>
    </row>
    <row r="128" spans="2:22" ht="15" outlineLevel="1" x14ac:dyDescent="0.35">
      <c r="B128" s="223"/>
      <c r="C128" s="197"/>
      <c r="D128" s="198"/>
      <c r="E128" s="193"/>
      <c r="F128" s="230"/>
      <c r="G128" s="201"/>
      <c r="H128" s="180"/>
      <c r="I128" s="169"/>
      <c r="J128" s="204"/>
      <c r="K128" s="205"/>
      <c r="L128" s="251"/>
      <c r="M128" s="259" t="str">
        <f>IFERROR(VLOOKUP(B128,'Price List'!$F$5:$M$26,7,FALSE),"")</f>
        <v/>
      </c>
      <c r="N128" s="260" t="str">
        <f>IFERROR(VLOOKUP(B128,'Price List'!$F$5:$M$26,8,FALSE),"")</f>
        <v/>
      </c>
      <c r="O128" s="261" t="str">
        <f t="shared" si="7"/>
        <v/>
      </c>
      <c r="U128" s="31"/>
    </row>
    <row r="129" spans="2:21" ht="15" outlineLevel="1" x14ac:dyDescent="0.35">
      <c r="B129" s="223"/>
      <c r="C129" s="197" t="str">
        <f>IFERROR(VLOOKUP(B129,'Price List'!$F$5:$I$26,2,FALSE)*I129,"")</f>
        <v/>
      </c>
      <c r="D129" s="198" t="str">
        <f>IFERROR(VLOOKUP(B129,'Price List'!$F$5:$I$26,3,FALSE),"")</f>
        <v/>
      </c>
      <c r="E129" s="192"/>
      <c r="F129" s="230"/>
      <c r="G129" s="201" t="str">
        <f>IFERROR(VLOOKUP(B129,'Price List'!$F$5:$K$26,6,FALSE),"")</f>
        <v/>
      </c>
      <c r="H129" s="180"/>
      <c r="I129" s="169"/>
      <c r="J129" s="204" t="str">
        <f>IFERROR(VLOOKUP(B129,'Price List'!$F$5:$J$26,4,FALSE),"")</f>
        <v/>
      </c>
      <c r="K129" s="205" t="str">
        <f>IFERROR(VLOOKUP(B129,'Price List'!$F$5:$J$26,5,FALSE),"")</f>
        <v/>
      </c>
      <c r="L129" s="251" t="str">
        <f>IF(J129&lt;&gt;"",F129*I129*J129*H129,"")</f>
        <v/>
      </c>
      <c r="M129" s="259" t="str">
        <f>IFERROR(VLOOKUP(B129,'Price List'!$F$5:$M$26,7,FALSE),"")</f>
        <v/>
      </c>
      <c r="N129" s="260" t="str">
        <f>IFERROR(VLOOKUP(B129,'Price List'!$F$5:$M$26,8,FALSE),"")</f>
        <v/>
      </c>
      <c r="O129" s="261" t="str">
        <f t="shared" si="7"/>
        <v/>
      </c>
      <c r="U129" s="31"/>
    </row>
    <row r="130" spans="2:21" ht="15" outlineLevel="1" x14ac:dyDescent="0.35">
      <c r="B130" s="223"/>
      <c r="C130" s="197" t="str">
        <f>IFERROR(VLOOKUP(B130,'Price List'!$F$5:$I$26,2,FALSE)*I130,"")</f>
        <v/>
      </c>
      <c r="D130" s="198" t="str">
        <f>IFERROR(VLOOKUP(B130,'Price List'!$F$5:$I$26,3,FALSE),"")</f>
        <v/>
      </c>
      <c r="E130" s="192"/>
      <c r="F130" s="230"/>
      <c r="G130" s="201" t="str">
        <f>IFERROR(VLOOKUP(B130,'Price List'!$F$5:$K$26,6,FALSE),"")</f>
        <v/>
      </c>
      <c r="H130" s="180"/>
      <c r="I130" s="169"/>
      <c r="J130" s="204" t="str">
        <f>IFERROR(VLOOKUP(B130,'Price List'!$F$5:$J$26,4,FALSE),"")</f>
        <v/>
      </c>
      <c r="K130" s="205" t="str">
        <f>IFERROR(VLOOKUP(B130,'Price List'!$F$5:$J$26,5,FALSE),"")</f>
        <v/>
      </c>
      <c r="L130" s="251" t="str">
        <f>IF(J130&lt;&gt;"",F130*I130*J130*H130,"")</f>
        <v/>
      </c>
      <c r="M130" s="259" t="str">
        <f>IFERROR(VLOOKUP(B130,'Price List'!$F$5:$M$26,7,FALSE),"")</f>
        <v/>
      </c>
      <c r="N130" s="260" t="str">
        <f>IFERROR(VLOOKUP(B130,'Price List'!$F$5:$M$26,8,FALSE),"")</f>
        <v/>
      </c>
      <c r="O130" s="261" t="str">
        <f t="shared" si="7"/>
        <v/>
      </c>
      <c r="U130" s="31"/>
    </row>
    <row r="131" spans="2:21" ht="15" outlineLevel="1" x14ac:dyDescent="0.35">
      <c r="B131" s="223"/>
      <c r="C131" s="197"/>
      <c r="D131" s="198"/>
      <c r="E131" s="192"/>
      <c r="F131" s="230"/>
      <c r="G131" s="201"/>
      <c r="H131" s="180"/>
      <c r="I131" s="169"/>
      <c r="J131" s="204"/>
      <c r="K131" s="205"/>
      <c r="L131" s="251"/>
      <c r="M131" s="259" t="str">
        <f>IFERROR(VLOOKUP(B131,'Price List'!$F$5:$M$26,7,FALSE),"")</f>
        <v/>
      </c>
      <c r="N131" s="260" t="str">
        <f>IFERROR(VLOOKUP(B131,'Price List'!$F$5:$M$26,8,FALSE),"")</f>
        <v/>
      </c>
      <c r="O131" s="261" t="str">
        <f t="shared" si="7"/>
        <v/>
      </c>
      <c r="U131" s="31"/>
    </row>
    <row r="132" spans="2:21" ht="15" outlineLevel="1" x14ac:dyDescent="0.35">
      <c r="B132" s="223"/>
      <c r="C132" s="197"/>
      <c r="D132" s="198"/>
      <c r="E132" s="192"/>
      <c r="F132" s="230"/>
      <c r="G132" s="201"/>
      <c r="H132" s="180"/>
      <c r="I132" s="169"/>
      <c r="J132" s="204"/>
      <c r="K132" s="205"/>
      <c r="L132" s="251"/>
      <c r="M132" s="259" t="str">
        <f>IFERROR(VLOOKUP(B132,'Price List'!$F$5:$M$26,7,FALSE),"")</f>
        <v/>
      </c>
      <c r="N132" s="260" t="str">
        <f>IFERROR(VLOOKUP(B132,'Price List'!$F$5:$M$26,8,FALSE),"")</f>
        <v/>
      </c>
      <c r="O132" s="261" t="str">
        <f t="shared" si="7"/>
        <v/>
      </c>
      <c r="U132" s="31"/>
    </row>
    <row r="133" spans="2:21" ht="15" outlineLevel="1" x14ac:dyDescent="0.35">
      <c r="B133" s="223"/>
      <c r="C133" s="197"/>
      <c r="D133" s="198"/>
      <c r="E133" s="192"/>
      <c r="F133" s="230"/>
      <c r="G133" s="201"/>
      <c r="H133" s="180"/>
      <c r="I133" s="169"/>
      <c r="J133" s="204"/>
      <c r="K133" s="205"/>
      <c r="L133" s="251"/>
      <c r="M133" s="259" t="str">
        <f>IFERROR(VLOOKUP(B133,'Price List'!$F$5:$M$26,7,FALSE),"")</f>
        <v/>
      </c>
      <c r="N133" s="260" t="str">
        <f>IFERROR(VLOOKUP(B133,'Price List'!$F$5:$M$26,8,FALSE),"")</f>
        <v/>
      </c>
      <c r="O133" s="261" t="str">
        <f t="shared" si="7"/>
        <v/>
      </c>
      <c r="U133" s="31"/>
    </row>
    <row r="134" spans="2:21" ht="15" outlineLevel="1" x14ac:dyDescent="0.35">
      <c r="B134" s="223"/>
      <c r="C134" s="197"/>
      <c r="D134" s="198"/>
      <c r="E134" s="192"/>
      <c r="F134" s="230"/>
      <c r="G134" s="201"/>
      <c r="H134" s="180"/>
      <c r="I134" s="169"/>
      <c r="J134" s="204"/>
      <c r="K134" s="205"/>
      <c r="L134" s="251"/>
      <c r="M134" s="259" t="str">
        <f>IFERROR(VLOOKUP(B134,'Price List'!$F$5:$M$26,7,FALSE),"")</f>
        <v/>
      </c>
      <c r="N134" s="260" t="str">
        <f>IFERROR(VLOOKUP(B134,'Price List'!$F$5:$M$26,8,FALSE),"")</f>
        <v/>
      </c>
      <c r="O134" s="261" t="str">
        <f t="shared" si="7"/>
        <v/>
      </c>
      <c r="U134" s="31"/>
    </row>
    <row r="135" spans="2:21" ht="15" outlineLevel="1" x14ac:dyDescent="0.35">
      <c r="B135" s="223"/>
      <c r="C135" s="197" t="str">
        <f>IFERROR(VLOOKUP(B135,'Price List'!$F$5:$I$26,2,FALSE)*I135,"")</f>
        <v/>
      </c>
      <c r="D135" s="198" t="str">
        <f>IFERROR(VLOOKUP(B135,'Price List'!$F$5:$I$26,3,FALSE),"")</f>
        <v/>
      </c>
      <c r="E135" s="192"/>
      <c r="F135" s="230"/>
      <c r="G135" s="201" t="str">
        <f>IFERROR(VLOOKUP(B135,'Price List'!$F$5:$K$26,6,FALSE),"")</f>
        <v/>
      </c>
      <c r="H135" s="180"/>
      <c r="I135" s="169"/>
      <c r="J135" s="204" t="str">
        <f>IFERROR(VLOOKUP(B135,'Price List'!$F$5:$J$26,4,FALSE),"")</f>
        <v/>
      </c>
      <c r="K135" s="205" t="str">
        <f>IFERROR(VLOOKUP(B135,'Price List'!$F$5:$J$26,5,FALSE),"")</f>
        <v/>
      </c>
      <c r="L135" s="251" t="str">
        <f>IF(J135&lt;&gt;"",F135*I135*J135*H135,"")</f>
        <v/>
      </c>
      <c r="M135" s="259" t="str">
        <f>IFERROR(VLOOKUP(B135,'Price List'!$F$5:$M$26,7,FALSE),"")</f>
        <v/>
      </c>
      <c r="N135" s="260" t="str">
        <f>IFERROR(VLOOKUP(B135,'Price List'!$F$5:$M$26,8,FALSE),"")</f>
        <v/>
      </c>
      <c r="O135" s="261" t="str">
        <f t="shared" si="7"/>
        <v/>
      </c>
      <c r="U135" s="31"/>
    </row>
    <row r="136" spans="2:21" ht="15" outlineLevel="1" x14ac:dyDescent="0.35">
      <c r="B136" s="223"/>
      <c r="C136" s="197"/>
      <c r="D136" s="198"/>
      <c r="E136" s="192"/>
      <c r="F136" s="230"/>
      <c r="G136" s="201"/>
      <c r="H136" s="180"/>
      <c r="I136" s="169"/>
      <c r="J136" s="204"/>
      <c r="K136" s="205"/>
      <c r="L136" s="251"/>
      <c r="M136" s="259" t="str">
        <f>IFERROR(VLOOKUP(B136,'Price List'!$F$5:$M$26,7,FALSE),"")</f>
        <v/>
      </c>
      <c r="N136" s="260" t="str">
        <f>IFERROR(VLOOKUP(B136,'Price List'!$F$5:$M$26,8,FALSE),"")</f>
        <v/>
      </c>
      <c r="O136" s="261" t="str">
        <f t="shared" si="7"/>
        <v/>
      </c>
      <c r="U136" s="31"/>
    </row>
    <row r="137" spans="2:21" ht="15" outlineLevel="1" x14ac:dyDescent="0.35">
      <c r="B137" s="223"/>
      <c r="C137" s="197"/>
      <c r="D137" s="198"/>
      <c r="E137" s="192"/>
      <c r="F137" s="230"/>
      <c r="G137" s="201"/>
      <c r="H137" s="180"/>
      <c r="I137" s="169"/>
      <c r="J137" s="204"/>
      <c r="K137" s="205"/>
      <c r="L137" s="251"/>
      <c r="M137" s="259" t="str">
        <f>IFERROR(VLOOKUP(B137,'Price List'!$F$5:$M$26,7,FALSE),"")</f>
        <v/>
      </c>
      <c r="N137" s="260" t="str">
        <f>IFERROR(VLOOKUP(B137,'Price List'!$F$5:$M$26,8,FALSE),"")</f>
        <v/>
      </c>
      <c r="O137" s="261" t="str">
        <f t="shared" si="7"/>
        <v/>
      </c>
      <c r="U137" s="31"/>
    </row>
    <row r="138" spans="2:21" ht="15" outlineLevel="1" x14ac:dyDescent="0.35">
      <c r="B138" s="223"/>
      <c r="C138" s="197"/>
      <c r="D138" s="198"/>
      <c r="E138" s="192"/>
      <c r="F138" s="230"/>
      <c r="G138" s="201"/>
      <c r="H138" s="180"/>
      <c r="I138" s="169"/>
      <c r="J138" s="204"/>
      <c r="K138" s="205"/>
      <c r="L138" s="251"/>
      <c r="M138" s="259" t="str">
        <f>IFERROR(VLOOKUP(B138,'Price List'!$F$5:$M$26,7,FALSE),"")</f>
        <v/>
      </c>
      <c r="N138" s="260" t="str">
        <f>IFERROR(VLOOKUP(B138,'Price List'!$F$5:$M$26,8,FALSE),"")</f>
        <v/>
      </c>
      <c r="O138" s="261" t="str">
        <f t="shared" si="7"/>
        <v/>
      </c>
      <c r="U138" s="31"/>
    </row>
    <row r="139" spans="2:21" ht="15" outlineLevel="1" x14ac:dyDescent="0.35">
      <c r="B139" s="223"/>
      <c r="C139" s="197"/>
      <c r="D139" s="198"/>
      <c r="E139" s="192"/>
      <c r="F139" s="230"/>
      <c r="G139" s="201"/>
      <c r="H139" s="180"/>
      <c r="I139" s="169"/>
      <c r="J139" s="204"/>
      <c r="K139" s="205"/>
      <c r="L139" s="251"/>
      <c r="M139" s="259" t="str">
        <f>IFERROR(VLOOKUP(B139,'Price List'!$F$5:$M$26,7,FALSE),"")</f>
        <v/>
      </c>
      <c r="N139" s="260" t="str">
        <f>IFERROR(VLOOKUP(B139,'Price List'!$F$5:$M$26,8,FALSE),"")</f>
        <v/>
      </c>
      <c r="O139" s="261" t="str">
        <f t="shared" si="7"/>
        <v/>
      </c>
      <c r="U139" s="31"/>
    </row>
    <row r="140" spans="2:21" ht="15" outlineLevel="1" x14ac:dyDescent="0.35">
      <c r="B140" s="223"/>
      <c r="C140" s="197" t="str">
        <f>IFERROR(VLOOKUP(B140,'Price List'!$F$5:$I$26,2,FALSE)*I140,"")</f>
        <v/>
      </c>
      <c r="D140" s="198" t="str">
        <f>IFERROR(VLOOKUP(B140,'Price List'!$F$5:$I$26,3,FALSE),"")</f>
        <v/>
      </c>
      <c r="E140" s="192"/>
      <c r="F140" s="230"/>
      <c r="G140" s="201" t="str">
        <f>IFERROR(VLOOKUP(B140,'Price List'!$F$5:$K$26,6,FALSE),"")</f>
        <v/>
      </c>
      <c r="H140" s="180"/>
      <c r="I140" s="169"/>
      <c r="J140" s="204" t="str">
        <f>IFERROR(VLOOKUP(B140,'Price List'!$F$5:$J$26,4,FALSE),"")</f>
        <v/>
      </c>
      <c r="K140" s="205" t="str">
        <f>IFERROR(VLOOKUP(B140,'Price List'!$F$5:$J$26,5,FALSE),"")</f>
        <v/>
      </c>
      <c r="L140" s="251" t="str">
        <f>IF(J140&lt;&gt;"",F140*I140*J140*H140,"")</f>
        <v/>
      </c>
      <c r="M140" s="259" t="str">
        <f>IFERROR(VLOOKUP(B140,'Price List'!$F$5:$M$26,7,FALSE),"")</f>
        <v/>
      </c>
      <c r="N140" s="260" t="str">
        <f>IFERROR(VLOOKUP(B140,'Price List'!$F$5:$M$26,8,FALSE),"")</f>
        <v/>
      </c>
      <c r="O140" s="261" t="str">
        <f t="shared" si="7"/>
        <v/>
      </c>
      <c r="U140" s="31"/>
    </row>
    <row r="141" spans="2:21" ht="15" outlineLevel="1" x14ac:dyDescent="0.35">
      <c r="B141" s="223"/>
      <c r="C141" s="197" t="str">
        <f>IFERROR(VLOOKUP(B141,'Price List'!$F$5:$I$26,2,FALSE)*I141,"")</f>
        <v/>
      </c>
      <c r="D141" s="198" t="str">
        <f>IFERROR(VLOOKUP(B141,'Price List'!$F$5:$I$26,3,FALSE),"")</f>
        <v/>
      </c>
      <c r="E141" s="192"/>
      <c r="F141" s="230"/>
      <c r="G141" s="201" t="str">
        <f>IFERROR(VLOOKUP(B141,'Price List'!$F$5:$K$26,6,FALSE),"")</f>
        <v/>
      </c>
      <c r="H141" s="180"/>
      <c r="I141" s="169"/>
      <c r="J141" s="204" t="str">
        <f>IFERROR(VLOOKUP(B141,'Price List'!$F$5:$J$26,4,FALSE),"")</f>
        <v/>
      </c>
      <c r="K141" s="205" t="str">
        <f>IFERROR(VLOOKUP(B141,'Price List'!$F$5:$J$26,5,FALSE),"")</f>
        <v/>
      </c>
      <c r="L141" s="251" t="str">
        <f>IF(J141&lt;&gt;"",F141*I141*J141*H141,"")</f>
        <v/>
      </c>
      <c r="M141" s="259" t="str">
        <f>IFERROR(VLOOKUP(B141,'Price List'!$F$5:$M$26,7,FALSE),"")</f>
        <v/>
      </c>
      <c r="N141" s="260" t="str">
        <f>IFERROR(VLOOKUP(B141,'Price List'!$F$5:$M$26,8,FALSE),"")</f>
        <v/>
      </c>
      <c r="O141" s="261" t="str">
        <f t="shared" si="7"/>
        <v/>
      </c>
      <c r="U141" s="31"/>
    </row>
    <row r="142" spans="2:21" ht="15" outlineLevel="1" x14ac:dyDescent="0.35">
      <c r="B142" s="223"/>
      <c r="C142" s="197" t="str">
        <f>IFERROR(VLOOKUP(B142,'Price List'!$F$5:$I$26,2,FALSE)*I142,"")</f>
        <v/>
      </c>
      <c r="D142" s="198" t="str">
        <f>IFERROR(VLOOKUP(B142,'Price List'!$F$5:$I$26,3,FALSE),"")</f>
        <v/>
      </c>
      <c r="E142" s="192"/>
      <c r="F142" s="230"/>
      <c r="G142" s="201" t="str">
        <f>IFERROR(VLOOKUP(B142,'Price List'!$F$5:$K$26,6,FALSE),"")</f>
        <v/>
      </c>
      <c r="H142" s="180"/>
      <c r="I142" s="169"/>
      <c r="J142" s="204" t="str">
        <f>IFERROR(VLOOKUP(B142,'Price List'!$F$5:$J$26,4,FALSE),"")</f>
        <v/>
      </c>
      <c r="K142" s="205" t="str">
        <f>IFERROR(VLOOKUP(B142,'Price List'!$F$5:$J$26,5,FALSE),"")</f>
        <v/>
      </c>
      <c r="L142" s="251" t="str">
        <f>IF(J142&lt;&gt;"",F142*I142*J142*H142,"")</f>
        <v/>
      </c>
      <c r="M142" s="259" t="str">
        <f>IFERROR(VLOOKUP(B142,'Price List'!$F$5:$M$26,7,FALSE),"")</f>
        <v/>
      </c>
      <c r="N142" s="260" t="str">
        <f>IFERROR(VLOOKUP(B142,'Price List'!$F$5:$M$26,8,FALSE),"")</f>
        <v/>
      </c>
      <c r="O142" s="261" t="str">
        <f t="shared" si="7"/>
        <v/>
      </c>
      <c r="U142" s="31"/>
    </row>
    <row r="143" spans="2:21" ht="15.6" outlineLevel="1" thickBot="1" x14ac:dyDescent="0.4">
      <c r="B143" s="224"/>
      <c r="C143" s="199" t="str">
        <f>IFERROR(VLOOKUP(B143,'Price List'!$F$5:$I$26,2,FALSE)*I143,"")</f>
        <v/>
      </c>
      <c r="D143" s="200" t="str">
        <f>IFERROR(VLOOKUP(B143,'Price List'!$F$5:$I$26,3,FALSE),"")</f>
        <v/>
      </c>
      <c r="E143" s="194"/>
      <c r="F143" s="231"/>
      <c r="G143" s="201" t="str">
        <f>IFERROR(VLOOKUP(B143,'Price List'!$F$5:$K$26,6,FALSE),"")</f>
        <v/>
      </c>
      <c r="H143" s="181"/>
      <c r="I143" s="45"/>
      <c r="J143" s="206" t="str">
        <f>IFERROR(VLOOKUP(B143,'Price List'!$F$5:$J$26,4,FALSE),"")</f>
        <v/>
      </c>
      <c r="K143" s="207" t="str">
        <f>IFERROR(VLOOKUP(B143,'Price List'!$F$5:$J$26,5,FALSE),"")</f>
        <v/>
      </c>
      <c r="L143" s="251" t="str">
        <f>IF(J143&lt;&gt;"",F143*I143*J143*H143,"")</f>
        <v/>
      </c>
      <c r="M143" s="262" t="str">
        <f>IFERROR(VLOOKUP(B143,'Price List'!$F$5:$M$26,7,FALSE),"")</f>
        <v/>
      </c>
      <c r="N143" s="263" t="str">
        <f>IFERROR(VLOOKUP(B143,'Price List'!$F$5:$M$26,8,FALSE),"")</f>
        <v/>
      </c>
      <c r="O143" s="264" t="str">
        <f t="shared" si="7"/>
        <v/>
      </c>
      <c r="U143" s="31"/>
    </row>
    <row r="144" spans="2:21" ht="15" thickBot="1" x14ac:dyDescent="0.35">
      <c r="B144" s="115" t="s">
        <v>259</v>
      </c>
      <c r="C144" s="98"/>
      <c r="D144" s="98"/>
      <c r="E144" s="98"/>
      <c r="F144" s="98"/>
      <c r="G144" s="98"/>
      <c r="H144" s="98"/>
      <c r="I144" s="98"/>
      <c r="J144" s="98"/>
      <c r="K144" s="98"/>
      <c r="L144" s="252">
        <f>SUM(L117:L143)</f>
        <v>0</v>
      </c>
      <c r="M144" s="253"/>
      <c r="N144" s="254"/>
      <c r="O144" s="255">
        <f>SUM(O117:O143)</f>
        <v>0</v>
      </c>
      <c r="U144" s="31"/>
    </row>
    <row r="145" spans="1:15" x14ac:dyDescent="0.3">
      <c r="B145" s="97"/>
      <c r="C145" s="96"/>
      <c r="D145" s="96"/>
      <c r="E145" s="96"/>
      <c r="F145" s="96"/>
      <c r="G145" s="96"/>
      <c r="H145" s="96"/>
      <c r="I145" s="96"/>
      <c r="J145" s="96"/>
      <c r="K145" s="96"/>
      <c r="L145" s="96"/>
      <c r="M145" s="96"/>
      <c r="N145" s="96"/>
      <c r="O145" s="95"/>
    </row>
    <row r="146" spans="1:15" x14ac:dyDescent="0.3">
      <c r="A146" s="31"/>
      <c r="B146" s="76"/>
      <c r="C146" s="31"/>
      <c r="D146" s="31"/>
      <c r="E146" s="31"/>
      <c r="F146" s="31"/>
      <c r="G146" s="31"/>
      <c r="H146" s="31"/>
      <c r="I146" s="31"/>
      <c r="J146" s="31"/>
      <c r="K146" s="31"/>
      <c r="L146" s="31"/>
    </row>
    <row r="147" spans="1:15" x14ac:dyDescent="0.3">
      <c r="B147" s="77" t="s">
        <v>55</v>
      </c>
      <c r="C147" s="58"/>
      <c r="D147" s="58"/>
      <c r="E147" s="58"/>
      <c r="F147" s="58"/>
      <c r="G147" s="58"/>
      <c r="H147" s="58"/>
      <c r="I147" s="58"/>
      <c r="J147" s="58"/>
      <c r="K147" s="58"/>
      <c r="L147" s="59"/>
    </row>
    <row r="148" spans="1:15" x14ac:dyDescent="0.3">
      <c r="B148" s="78" t="s">
        <v>63</v>
      </c>
      <c r="C148" s="21"/>
      <c r="D148" s="21"/>
      <c r="E148" s="21"/>
      <c r="F148" s="21"/>
      <c r="G148" s="21"/>
      <c r="H148" s="21"/>
      <c r="I148" s="21"/>
      <c r="J148" s="21"/>
      <c r="K148" s="21"/>
      <c r="L148" s="79"/>
    </row>
    <row r="149" spans="1:15" x14ac:dyDescent="0.3">
      <c r="B149" s="18"/>
      <c r="C149" s="61"/>
      <c r="D149" s="61"/>
      <c r="E149" s="61" t="s">
        <v>70</v>
      </c>
      <c r="F149" s="61"/>
      <c r="G149" s="61"/>
      <c r="H149" s="61"/>
      <c r="I149" s="61"/>
      <c r="J149" s="61" t="s">
        <v>113</v>
      </c>
      <c r="K149" s="61"/>
      <c r="L149" s="62"/>
    </row>
    <row r="150" spans="1:15" x14ac:dyDescent="0.3">
      <c r="B150" s="18" t="s">
        <v>46</v>
      </c>
      <c r="C150" s="61"/>
      <c r="D150" s="61"/>
      <c r="E150" s="49"/>
      <c r="F150" s="61"/>
      <c r="G150" s="61"/>
      <c r="H150" s="61"/>
      <c r="I150" s="61"/>
      <c r="J150" s="49">
        <f>($L$112/20+0.1*$L$112)*E150</f>
        <v>0</v>
      </c>
      <c r="K150" s="61"/>
      <c r="L150" s="61"/>
      <c r="M150" s="244"/>
      <c r="N150" s="244"/>
    </row>
    <row r="151" spans="1:15" x14ac:dyDescent="0.3">
      <c r="B151" s="18" t="s">
        <v>45</v>
      </c>
      <c r="C151" s="61"/>
      <c r="D151" s="61"/>
      <c r="E151" s="49"/>
      <c r="F151" s="61"/>
      <c r="G151" s="61"/>
      <c r="H151" s="61"/>
      <c r="I151" s="61"/>
      <c r="J151" s="49">
        <f>($L$112/20+0.1*$L$112)*E151</f>
        <v>0</v>
      </c>
      <c r="K151" s="61"/>
      <c r="L151" s="61"/>
    </row>
    <row r="152" spans="1:15" x14ac:dyDescent="0.3">
      <c r="B152" s="18" t="s">
        <v>205</v>
      </c>
      <c r="C152" s="61"/>
      <c r="D152" s="61"/>
      <c r="E152" s="49"/>
      <c r="F152" s="61"/>
      <c r="G152" s="61"/>
      <c r="H152" s="61"/>
      <c r="I152" s="61"/>
      <c r="J152" s="49">
        <f>($L$112/20+0.1*$L$112)*E152</f>
        <v>0</v>
      </c>
      <c r="K152" s="61"/>
      <c r="L152" s="61"/>
    </row>
    <row r="153" spans="1:15" x14ac:dyDescent="0.3">
      <c r="B153" s="18" t="s">
        <v>47</v>
      </c>
      <c r="C153" s="61"/>
      <c r="D153" s="61"/>
      <c r="E153" s="63"/>
      <c r="F153" s="61"/>
      <c r="G153" s="61"/>
      <c r="H153" s="61"/>
      <c r="I153" s="61"/>
      <c r="J153" s="49">
        <f>($M$112/20+0.1*$M$112)*E153</f>
        <v>0</v>
      </c>
      <c r="K153" s="61"/>
      <c r="L153" s="61"/>
    </row>
    <row r="154" spans="1:15" x14ac:dyDescent="0.3">
      <c r="B154" s="18" t="s">
        <v>161</v>
      </c>
      <c r="C154" s="61"/>
      <c r="D154" s="61"/>
      <c r="E154" s="61"/>
      <c r="F154" s="61"/>
      <c r="G154" s="61"/>
      <c r="H154" s="61"/>
      <c r="I154" s="61"/>
      <c r="J154" s="49"/>
      <c r="K154" s="61"/>
      <c r="L154" s="61"/>
    </row>
    <row r="155" spans="1:15" x14ac:dyDescent="0.3">
      <c r="B155" s="18" t="s">
        <v>163</v>
      </c>
      <c r="C155" s="61"/>
      <c r="D155" s="61"/>
      <c r="E155" s="61"/>
      <c r="F155" s="61"/>
      <c r="G155" s="61"/>
      <c r="H155" s="61"/>
      <c r="I155" s="61"/>
      <c r="J155" s="49"/>
      <c r="K155" s="61"/>
      <c r="L155" s="61"/>
    </row>
    <row r="156" spans="1:15" x14ac:dyDescent="0.3">
      <c r="B156" s="18"/>
      <c r="C156" s="61"/>
      <c r="D156" s="61"/>
      <c r="E156" s="61"/>
      <c r="F156" s="61"/>
      <c r="G156" s="61"/>
      <c r="H156" s="61"/>
      <c r="I156" s="61"/>
      <c r="J156" s="61"/>
      <c r="K156" s="61"/>
      <c r="L156" s="62"/>
    </row>
    <row r="157" spans="1:15" x14ac:dyDescent="0.3">
      <c r="B157" s="20" t="s">
        <v>64</v>
      </c>
      <c r="C157" s="21"/>
      <c r="D157" s="21"/>
      <c r="E157" s="21"/>
      <c r="F157" s="21"/>
      <c r="G157" s="21"/>
      <c r="H157" s="21"/>
      <c r="I157" s="21"/>
      <c r="J157" s="21"/>
      <c r="K157" s="21"/>
      <c r="L157" s="79"/>
    </row>
    <row r="158" spans="1:15" x14ac:dyDescent="0.3">
      <c r="B158" s="18"/>
      <c r="C158" s="61"/>
      <c r="D158" s="61"/>
      <c r="E158" s="214" t="s">
        <v>246</v>
      </c>
      <c r="F158" s="61" t="s">
        <v>261</v>
      </c>
      <c r="G158" s="61"/>
      <c r="H158" s="61"/>
      <c r="I158" s="61"/>
      <c r="J158" s="61" t="s">
        <v>113</v>
      </c>
      <c r="K158" s="61"/>
      <c r="L158" s="62"/>
    </row>
    <row r="159" spans="1:15" x14ac:dyDescent="0.3">
      <c r="B159" s="18" t="s">
        <v>87</v>
      </c>
      <c r="C159" s="61"/>
      <c r="D159" s="61"/>
      <c r="E159" s="63" t="s">
        <v>153</v>
      </c>
      <c r="F159" s="49"/>
      <c r="G159" s="213">
        <f>VLOOKUP($E$159,'Price List'!B18:C20,2,FALSE)</f>
        <v>0</v>
      </c>
      <c r="H159" s="80" t="s">
        <v>69</v>
      </c>
      <c r="I159" s="61"/>
      <c r="J159" s="49">
        <f>G159*F159</f>
        <v>0</v>
      </c>
      <c r="K159" s="61"/>
      <c r="L159" s="61"/>
    </row>
    <row r="160" spans="1:15" x14ac:dyDescent="0.3">
      <c r="B160" s="18" t="s">
        <v>88</v>
      </c>
      <c r="C160" s="61"/>
      <c r="D160" s="61"/>
      <c r="E160" s="61"/>
      <c r="F160" s="61"/>
      <c r="G160" s="61"/>
      <c r="H160" s="61"/>
      <c r="I160" s="61"/>
      <c r="J160" s="49"/>
      <c r="K160" s="61"/>
      <c r="L160" s="61"/>
    </row>
    <row r="161" spans="2:19" x14ac:dyDescent="0.3">
      <c r="B161" s="18"/>
      <c r="C161" s="61"/>
      <c r="D161" s="61"/>
      <c r="E161" s="61"/>
      <c r="F161" s="61"/>
      <c r="G161" s="61"/>
      <c r="H161" s="61"/>
      <c r="I161" s="61"/>
      <c r="J161" s="61"/>
      <c r="K161" s="61"/>
      <c r="L161" s="61"/>
    </row>
    <row r="162" spans="2:19" x14ac:dyDescent="0.3">
      <c r="B162" s="24"/>
      <c r="C162" s="81"/>
      <c r="D162" s="81"/>
      <c r="E162" s="81"/>
      <c r="F162" s="81"/>
      <c r="G162" s="81"/>
      <c r="H162" s="81"/>
      <c r="I162" s="81"/>
      <c r="J162" s="81" t="s">
        <v>113</v>
      </c>
      <c r="K162" s="61"/>
      <c r="L162" s="61"/>
    </row>
    <row r="163" spans="2:19" x14ac:dyDescent="0.3">
      <c r="B163" s="18" t="s">
        <v>65</v>
      </c>
      <c r="C163" s="80" t="s">
        <v>68</v>
      </c>
      <c r="D163" s="80"/>
      <c r="E163" s="49"/>
      <c r="F163" s="80" t="s">
        <v>90</v>
      </c>
      <c r="G163" s="80"/>
      <c r="H163" s="49"/>
      <c r="I163" s="61"/>
      <c r="J163" s="213" t="str">
        <f>IFERROR($E$163*$E$164*$H$164,"")</f>
        <v/>
      </c>
      <c r="K163" s="61"/>
      <c r="L163" s="61"/>
    </row>
    <row r="164" spans="2:19" x14ac:dyDescent="0.3">
      <c r="B164" s="18"/>
      <c r="C164" s="80" t="s">
        <v>89</v>
      </c>
      <c r="D164" s="80"/>
      <c r="E164" s="49"/>
      <c r="F164" s="82" t="s">
        <v>131</v>
      </c>
      <c r="G164" s="82"/>
      <c r="H164" s="213" t="str">
        <f>IFERROR(VLOOKUP('Business Case'!$H$163,'Price List'!B4:C7,2,FALSE),"")</f>
        <v/>
      </c>
      <c r="I164" s="61"/>
      <c r="J164" s="61"/>
      <c r="K164" s="61"/>
      <c r="L164" s="61"/>
      <c r="O164" s="83"/>
      <c r="P164" s="83"/>
      <c r="Q164" s="83"/>
      <c r="R164" s="31"/>
      <c r="S164" s="31"/>
    </row>
    <row r="165" spans="2:19" x14ac:dyDescent="0.3">
      <c r="B165" s="18" t="s">
        <v>66</v>
      </c>
      <c r="C165" s="80" t="s">
        <v>68</v>
      </c>
      <c r="D165" s="80"/>
      <c r="E165" s="49"/>
      <c r="F165" s="80" t="s">
        <v>90</v>
      </c>
      <c r="G165" s="80"/>
      <c r="H165" s="49"/>
      <c r="I165" s="61"/>
      <c r="J165" s="213" t="str">
        <f>IFERROR($E$165*$E$166*$H$166,"")</f>
        <v/>
      </c>
      <c r="K165" s="61"/>
      <c r="L165" s="61"/>
      <c r="O165" s="83"/>
      <c r="P165" s="31"/>
      <c r="Q165" s="83"/>
      <c r="R165" s="31"/>
      <c r="S165" s="31"/>
    </row>
    <row r="166" spans="2:19" x14ac:dyDescent="0.3">
      <c r="B166" s="18"/>
      <c r="C166" s="80" t="s">
        <v>89</v>
      </c>
      <c r="D166" s="80"/>
      <c r="E166" s="49"/>
      <c r="F166" s="82" t="s">
        <v>131</v>
      </c>
      <c r="G166" s="82"/>
      <c r="H166" s="213" t="str">
        <f>IFERROR(VLOOKUP($H$165,'Price List'!B4:C7,2,FALSE),"")</f>
        <v/>
      </c>
      <c r="I166" s="61"/>
      <c r="J166" s="61"/>
      <c r="K166" s="61"/>
      <c r="L166" s="61"/>
      <c r="O166" s="31"/>
      <c r="P166" s="31"/>
      <c r="Q166" s="31"/>
      <c r="R166" s="31"/>
      <c r="S166" s="31"/>
    </row>
    <row r="167" spans="2:19" x14ac:dyDescent="0.3">
      <c r="B167" s="25"/>
      <c r="C167" s="74"/>
      <c r="D167" s="74"/>
      <c r="E167" s="74"/>
      <c r="F167" s="74"/>
      <c r="G167" s="74"/>
      <c r="H167" s="74"/>
      <c r="I167" s="74"/>
      <c r="J167" s="74"/>
      <c r="K167" s="74"/>
      <c r="L167" s="75"/>
    </row>
    <row r="168" spans="2:19" x14ac:dyDescent="0.3">
      <c r="B168" s="18"/>
      <c r="C168" s="61"/>
      <c r="D168" s="61"/>
      <c r="E168" s="61"/>
      <c r="F168" s="61"/>
      <c r="G168" s="61"/>
      <c r="H168" s="61"/>
      <c r="I168" s="61"/>
      <c r="J168" s="81"/>
      <c r="K168" s="61"/>
      <c r="L168" s="62"/>
    </row>
    <row r="169" spans="2:19" x14ac:dyDescent="0.3">
      <c r="B169" s="273" t="s">
        <v>194</v>
      </c>
      <c r="C169" s="278" t="s">
        <v>203</v>
      </c>
      <c r="D169" s="279"/>
      <c r="E169" s="279"/>
      <c r="F169" s="279"/>
      <c r="G169" s="280"/>
      <c r="H169" s="274" t="s">
        <v>199</v>
      </c>
      <c r="I169" s="276" t="s">
        <v>204</v>
      </c>
      <c r="J169" s="274" t="s">
        <v>113</v>
      </c>
      <c r="K169" s="61"/>
      <c r="L169" s="62"/>
    </row>
    <row r="170" spans="2:19" x14ac:dyDescent="0.3">
      <c r="B170" s="273"/>
      <c r="C170" s="160">
        <v>1</v>
      </c>
      <c r="D170" s="160">
        <v>2</v>
      </c>
      <c r="E170" s="160">
        <v>3</v>
      </c>
      <c r="F170" s="160">
        <v>4</v>
      </c>
      <c r="G170" s="189">
        <v>5</v>
      </c>
      <c r="H170" s="275"/>
      <c r="I170" s="277"/>
      <c r="J170" s="275"/>
      <c r="K170" s="61"/>
      <c r="L170" s="62"/>
    </row>
    <row r="171" spans="2:19" x14ac:dyDescent="0.3">
      <c r="B171" s="143" t="s">
        <v>195</v>
      </c>
      <c r="C171" s="142"/>
      <c r="D171" s="142"/>
      <c r="E171" s="142"/>
      <c r="F171" s="142"/>
      <c r="G171" s="142"/>
      <c r="H171" s="142"/>
      <c r="I171" s="142"/>
      <c r="J171" s="220">
        <f>H171*I171</f>
        <v>0</v>
      </c>
      <c r="K171" s="61"/>
      <c r="L171" s="62"/>
    </row>
    <row r="172" spans="2:19" ht="28.8" x14ac:dyDescent="0.3">
      <c r="B172" s="144" t="s">
        <v>196</v>
      </c>
      <c r="C172" s="142"/>
      <c r="D172" s="142"/>
      <c r="E172" s="142"/>
      <c r="F172" s="142"/>
      <c r="G172" s="142"/>
      <c r="H172" s="142"/>
      <c r="I172" s="142"/>
      <c r="J172" s="220">
        <f t="shared" ref="J172:J175" si="8">H172*I172</f>
        <v>0</v>
      </c>
      <c r="K172" s="61"/>
      <c r="L172" s="62"/>
    </row>
    <row r="173" spans="2:19" x14ac:dyDescent="0.3">
      <c r="B173" s="143" t="s">
        <v>197</v>
      </c>
      <c r="C173" s="142"/>
      <c r="D173" s="142"/>
      <c r="E173" s="142"/>
      <c r="F173" s="142"/>
      <c r="G173" s="142"/>
      <c r="H173" s="142"/>
      <c r="I173" s="142"/>
      <c r="J173" s="220">
        <f t="shared" si="8"/>
        <v>0</v>
      </c>
      <c r="K173" s="61"/>
      <c r="L173" s="62"/>
    </row>
    <row r="174" spans="2:19" x14ac:dyDescent="0.3">
      <c r="B174" s="143" t="s">
        <v>249</v>
      </c>
      <c r="C174" s="142"/>
      <c r="D174" s="142"/>
      <c r="E174" s="142"/>
      <c r="F174" s="142"/>
      <c r="G174" s="142"/>
      <c r="H174" s="142"/>
      <c r="I174" s="142"/>
      <c r="J174" s="220">
        <f t="shared" si="8"/>
        <v>0</v>
      </c>
      <c r="K174" s="61"/>
      <c r="L174" s="62"/>
    </row>
    <row r="175" spans="2:19" x14ac:dyDescent="0.3">
      <c r="B175" s="143" t="s">
        <v>198</v>
      </c>
      <c r="C175" s="142"/>
      <c r="D175" s="142"/>
      <c r="E175" s="142"/>
      <c r="F175" s="142"/>
      <c r="G175" s="142"/>
      <c r="H175" s="142"/>
      <c r="I175" s="142"/>
      <c r="J175" s="220">
        <f t="shared" si="8"/>
        <v>0</v>
      </c>
      <c r="K175" s="61"/>
      <c r="L175" s="62"/>
    </row>
    <row r="176" spans="2:19" x14ac:dyDescent="0.3">
      <c r="B176" s="18" t="s">
        <v>123</v>
      </c>
      <c r="C176" s="80"/>
      <c r="D176" s="80"/>
      <c r="E176" s="80"/>
      <c r="F176" s="80"/>
      <c r="G176" s="80"/>
      <c r="H176" s="80"/>
      <c r="I176" s="80"/>
      <c r="J176" s="221">
        <f>SUM(J171:J175)</f>
        <v>0</v>
      </c>
      <c r="K176" s="61"/>
      <c r="L176" s="62"/>
    </row>
    <row r="177" spans="2:15" x14ac:dyDescent="0.3">
      <c r="B177" s="18"/>
      <c r="C177" s="80"/>
      <c r="D177" s="80"/>
      <c r="E177" s="80"/>
      <c r="F177" s="80"/>
      <c r="G177" s="80"/>
      <c r="H177" s="80"/>
      <c r="I177" s="80"/>
      <c r="J177" s="80"/>
      <c r="K177" s="61"/>
      <c r="L177" s="62"/>
    </row>
    <row r="178" spans="2:15" x14ac:dyDescent="0.3">
      <c r="B178" s="18" t="s">
        <v>67</v>
      </c>
      <c r="C178" s="82" t="s">
        <v>92</v>
      </c>
      <c r="D178" s="82"/>
      <c r="E178" s="49"/>
      <c r="F178" s="82" t="s">
        <v>132</v>
      </c>
      <c r="G178" s="82"/>
      <c r="H178" s="49"/>
      <c r="I178" s="61"/>
      <c r="J178" s="49">
        <f>H178*E179</f>
        <v>0</v>
      </c>
      <c r="K178" s="61"/>
      <c r="L178" s="62"/>
    </row>
    <row r="179" spans="2:15" x14ac:dyDescent="0.3">
      <c r="B179" s="18"/>
      <c r="C179" s="82" t="s">
        <v>130</v>
      </c>
      <c r="D179" s="82"/>
      <c r="E179" s="49"/>
      <c r="F179" s="82"/>
      <c r="G179" s="82"/>
      <c r="H179" s="82"/>
      <c r="I179" s="61"/>
      <c r="J179" s="61"/>
      <c r="K179" s="61"/>
      <c r="L179" s="62"/>
    </row>
    <row r="180" spans="2:15" x14ac:dyDescent="0.3">
      <c r="B180" s="18" t="s">
        <v>175</v>
      </c>
      <c r="C180" s="61"/>
      <c r="D180" s="61"/>
      <c r="E180" s="61"/>
      <c r="F180" s="61"/>
      <c r="G180" s="61"/>
      <c r="H180" s="61"/>
      <c r="I180" s="61"/>
      <c r="J180" s="49"/>
      <c r="K180" s="61"/>
      <c r="L180" s="62"/>
    </row>
    <row r="181" spans="2:15" x14ac:dyDescent="0.3">
      <c r="B181" s="18" t="s">
        <v>106</v>
      </c>
      <c r="C181" s="80" t="s">
        <v>129</v>
      </c>
      <c r="D181" s="80"/>
      <c r="E181" s="49"/>
      <c r="F181" s="61" t="s">
        <v>212</v>
      </c>
      <c r="G181" s="61"/>
      <c r="H181" s="225">
        <f>L112/20</f>
        <v>0</v>
      </c>
      <c r="I181" s="61"/>
      <c r="J181" s="49">
        <f>E181*H181</f>
        <v>0</v>
      </c>
      <c r="K181" s="61"/>
      <c r="L181" s="62"/>
      <c r="M181" s="31"/>
      <c r="N181" s="31"/>
    </row>
    <row r="182" spans="2:15" ht="28.8" x14ac:dyDescent="0.3">
      <c r="B182" s="26" t="s">
        <v>211</v>
      </c>
      <c r="C182" s="61"/>
      <c r="D182" s="61"/>
      <c r="E182" s="61"/>
      <c r="F182" s="61"/>
      <c r="G182" s="61"/>
      <c r="H182" s="61"/>
      <c r="I182" s="61"/>
      <c r="J182" s="49"/>
      <c r="K182" s="61"/>
      <c r="L182" s="62"/>
      <c r="M182" s="31"/>
      <c r="N182" s="31"/>
    </row>
    <row r="183" spans="2:15" ht="28.8" x14ac:dyDescent="0.3">
      <c r="B183" s="26" t="s">
        <v>269</v>
      </c>
      <c r="C183" s="80" t="s">
        <v>129</v>
      </c>
      <c r="D183" s="80"/>
      <c r="E183" s="49"/>
      <c r="F183" s="61"/>
      <c r="G183" s="61"/>
      <c r="H183" s="61"/>
      <c r="I183" s="61"/>
      <c r="J183" s="49">
        <f>E183*L106/20</f>
        <v>0</v>
      </c>
      <c r="K183" s="61"/>
      <c r="L183" s="62"/>
      <c r="M183" s="31"/>
      <c r="N183" s="31"/>
    </row>
    <row r="184" spans="2:15" x14ac:dyDescent="0.3">
      <c r="B184" s="18"/>
      <c r="C184" s="80"/>
      <c r="D184" s="80"/>
      <c r="E184" s="80"/>
      <c r="F184" s="80"/>
      <c r="G184" s="80"/>
      <c r="H184" s="80"/>
      <c r="I184" s="80"/>
      <c r="J184" s="80"/>
      <c r="K184" s="61"/>
      <c r="L184" s="62"/>
      <c r="M184" s="31"/>
      <c r="N184" s="31"/>
    </row>
    <row r="185" spans="2:15" x14ac:dyDescent="0.3">
      <c r="B185" s="20" t="s">
        <v>71</v>
      </c>
      <c r="C185" s="21"/>
      <c r="D185" s="21"/>
      <c r="E185" s="21"/>
      <c r="F185" s="21"/>
      <c r="G185" s="21"/>
      <c r="H185" s="21"/>
      <c r="I185" s="21"/>
      <c r="J185" s="21"/>
      <c r="K185" s="21"/>
      <c r="L185" s="79"/>
      <c r="M185" s="31"/>
      <c r="N185" s="31"/>
    </row>
    <row r="186" spans="2:15" x14ac:dyDescent="0.3">
      <c r="B186" s="19"/>
      <c r="C186" s="61"/>
      <c r="D186" s="61"/>
      <c r="E186" s="61"/>
      <c r="F186" s="61"/>
      <c r="G186" s="61"/>
      <c r="H186" s="61"/>
      <c r="I186" s="61"/>
      <c r="J186" s="74" t="s">
        <v>113</v>
      </c>
      <c r="K186" s="61"/>
      <c r="L186" s="62"/>
    </row>
    <row r="187" spans="2:15" x14ac:dyDescent="0.3">
      <c r="B187" s="19" t="s">
        <v>75</v>
      </c>
      <c r="C187" s="80"/>
      <c r="D187" s="80"/>
      <c r="E187" s="61"/>
      <c r="F187" s="61"/>
      <c r="G187" s="61"/>
      <c r="H187" s="61"/>
      <c r="I187" s="61"/>
      <c r="J187" s="269">
        <f>L144</f>
        <v>0</v>
      </c>
      <c r="K187" s="61"/>
      <c r="L187" s="62"/>
    </row>
    <row r="188" spans="2:15" x14ac:dyDescent="0.3">
      <c r="B188" s="18" t="s">
        <v>193</v>
      </c>
      <c r="C188" s="61"/>
      <c r="D188" s="61"/>
      <c r="E188" s="61"/>
      <c r="F188" s="61"/>
      <c r="G188" s="61"/>
      <c r="H188" s="61"/>
      <c r="I188" s="61"/>
      <c r="J188" s="63">
        <v>0</v>
      </c>
      <c r="K188" s="61"/>
      <c r="L188" s="62"/>
      <c r="O188" s="31"/>
    </row>
    <row r="189" spans="2:15" hidden="1" x14ac:dyDescent="0.3">
      <c r="B189" s="18" t="s">
        <v>210</v>
      </c>
      <c r="C189" s="82" t="s">
        <v>128</v>
      </c>
      <c r="D189" s="82"/>
      <c r="E189" s="49">
        <v>0</v>
      </c>
      <c r="F189" s="61"/>
      <c r="G189" s="61"/>
      <c r="H189" s="61"/>
      <c r="I189" s="61"/>
      <c r="J189" s="63">
        <f>E189*L106</f>
        <v>0</v>
      </c>
      <c r="K189" s="61"/>
      <c r="L189" s="62"/>
    </row>
    <row r="190" spans="2:15" x14ac:dyDescent="0.3">
      <c r="B190" s="18" t="s">
        <v>85</v>
      </c>
      <c r="C190" s="61"/>
      <c r="D190" s="61"/>
      <c r="E190" s="61"/>
      <c r="F190" s="61"/>
      <c r="G190" s="61"/>
      <c r="H190" s="61"/>
      <c r="I190" s="61"/>
      <c r="J190" s="63">
        <v>0</v>
      </c>
      <c r="K190" s="61"/>
      <c r="L190" s="62"/>
    </row>
    <row r="191" spans="2:15" x14ac:dyDescent="0.3">
      <c r="B191" s="18" t="s">
        <v>76</v>
      </c>
      <c r="C191" s="61"/>
      <c r="D191" s="61"/>
      <c r="E191" s="61"/>
      <c r="F191" s="61"/>
      <c r="G191" s="61"/>
      <c r="H191" s="61"/>
      <c r="I191" s="61"/>
      <c r="J191" s="49">
        <v>0</v>
      </c>
      <c r="K191" s="61"/>
      <c r="L191" s="62"/>
    </row>
    <row r="192" spans="2:15" x14ac:dyDescent="0.3">
      <c r="B192" s="18"/>
      <c r="C192" s="61"/>
      <c r="D192" s="61"/>
      <c r="E192" s="61"/>
      <c r="F192" s="61"/>
      <c r="G192" s="61"/>
      <c r="H192" s="61"/>
      <c r="I192" s="61"/>
      <c r="J192" s="61"/>
      <c r="K192" s="61"/>
      <c r="L192" s="62"/>
    </row>
    <row r="193" spans="2:17" x14ac:dyDescent="0.3">
      <c r="B193" s="21" t="s">
        <v>80</v>
      </c>
      <c r="C193" s="21"/>
      <c r="D193" s="21"/>
      <c r="E193" s="21"/>
      <c r="F193" s="21"/>
      <c r="G193" s="21"/>
      <c r="H193" s="21"/>
      <c r="I193" s="21"/>
      <c r="J193" s="21"/>
      <c r="K193" s="21"/>
      <c r="L193" s="21"/>
    </row>
    <row r="194" spans="2:17" x14ac:dyDescent="0.3">
      <c r="B194" s="18"/>
      <c r="C194" s="61"/>
      <c r="D194" s="61"/>
      <c r="E194" s="61"/>
      <c r="F194" s="61"/>
      <c r="G194" s="61"/>
      <c r="H194" s="61"/>
      <c r="I194" s="61"/>
      <c r="J194" s="74" t="s">
        <v>113</v>
      </c>
      <c r="K194" s="61"/>
      <c r="L194" s="62"/>
    </row>
    <row r="195" spans="2:17" x14ac:dyDescent="0.3">
      <c r="B195" s="18" t="s">
        <v>77</v>
      </c>
      <c r="C195" s="61"/>
      <c r="D195" s="61"/>
      <c r="E195" s="61"/>
      <c r="F195" s="61"/>
      <c r="G195" s="61"/>
      <c r="H195" s="61"/>
      <c r="I195" s="61"/>
      <c r="J195" s="49"/>
      <c r="K195" s="61"/>
      <c r="L195" s="62"/>
    </row>
    <row r="196" spans="2:17" x14ac:dyDescent="0.3">
      <c r="B196" s="18" t="s">
        <v>78</v>
      </c>
      <c r="C196" s="61"/>
      <c r="D196" s="61"/>
      <c r="E196" s="61"/>
      <c r="F196" s="61"/>
      <c r="G196" s="61"/>
      <c r="H196" s="61"/>
      <c r="I196" s="61"/>
      <c r="J196" s="49"/>
      <c r="K196" s="61"/>
      <c r="L196" s="62"/>
    </row>
    <row r="197" spans="2:17" x14ac:dyDescent="0.3">
      <c r="B197" s="18" t="s">
        <v>79</v>
      </c>
      <c r="C197" s="61"/>
      <c r="D197" s="61"/>
      <c r="E197" s="61"/>
      <c r="F197" s="61"/>
      <c r="G197" s="61"/>
      <c r="H197" s="61"/>
      <c r="I197" s="61"/>
      <c r="J197" s="49"/>
      <c r="K197" s="61"/>
      <c r="L197" s="62"/>
    </row>
    <row r="198" spans="2:17" x14ac:dyDescent="0.3">
      <c r="B198" s="61"/>
      <c r="C198" s="61"/>
      <c r="D198" s="61"/>
      <c r="E198" s="61"/>
      <c r="F198" s="61"/>
      <c r="G198" s="61"/>
      <c r="H198" s="61"/>
      <c r="I198" s="61"/>
      <c r="J198" s="61"/>
      <c r="K198" s="61"/>
      <c r="L198" s="62"/>
    </row>
    <row r="199" spans="2:17" x14ac:dyDescent="0.3">
      <c r="B199" s="64"/>
      <c r="C199" s="45"/>
      <c r="D199" s="45"/>
      <c r="E199" s="45" t="s">
        <v>263</v>
      </c>
      <c r="F199" s="45"/>
      <c r="G199" s="45"/>
      <c r="H199" s="45" t="s">
        <v>258</v>
      </c>
      <c r="I199" s="45"/>
      <c r="J199" s="45"/>
      <c r="K199" s="45"/>
      <c r="L199" s="47"/>
    </row>
    <row r="200" spans="2:17" x14ac:dyDescent="0.3">
      <c r="B200" s="65" t="s">
        <v>36</v>
      </c>
      <c r="C200" s="31"/>
      <c r="D200" s="31"/>
      <c r="E200" s="217">
        <f>SUM(J150:J155,J159:J160,J163,J165,J176,J178,J180:J183,J187:J191,J195:J197)</f>
        <v>0</v>
      </c>
      <c r="F200" s="31"/>
      <c r="G200" s="31"/>
      <c r="H200" s="217">
        <f>H94-(SUM(J150:J155,J159:J160,J163,J165,J176,J178,J180:J183,J187:J191,J195:J197))</f>
        <v>0</v>
      </c>
      <c r="I200" s="31"/>
      <c r="J200" s="31"/>
      <c r="K200" s="31"/>
      <c r="L200" s="50"/>
    </row>
    <row r="201" spans="2:17" x14ac:dyDescent="0.3">
      <c r="B201" s="66"/>
      <c r="C201" s="67"/>
      <c r="D201" s="67"/>
      <c r="E201" s="67"/>
      <c r="F201" s="67"/>
      <c r="G201" s="67"/>
      <c r="H201" s="67"/>
      <c r="I201" s="67"/>
      <c r="J201" s="67"/>
      <c r="K201" s="67"/>
      <c r="L201" s="68"/>
    </row>
    <row r="202" spans="2:17" s="31" customFormat="1" x14ac:dyDescent="0.3">
      <c r="M202" s="139"/>
      <c r="N202" s="139"/>
      <c r="O202" s="139"/>
      <c r="P202" s="139"/>
      <c r="Q202" s="139"/>
    </row>
    <row r="203" spans="2:17" x14ac:dyDescent="0.3">
      <c r="B203" s="77" t="s">
        <v>207</v>
      </c>
      <c r="C203" s="58"/>
      <c r="D203" s="58"/>
      <c r="E203" s="58"/>
      <c r="F203" s="58"/>
      <c r="G203" s="58"/>
      <c r="H203" s="58"/>
      <c r="I203" s="58"/>
      <c r="J203" s="58"/>
      <c r="K203" s="58"/>
      <c r="L203" s="59"/>
      <c r="M203" s="139"/>
      <c r="N203" s="139"/>
      <c r="O203" s="139"/>
      <c r="P203" s="139"/>
      <c r="Q203" s="139"/>
    </row>
    <row r="204" spans="2:17" ht="15" thickBot="1" x14ac:dyDescent="0.35">
      <c r="B204" s="153"/>
      <c r="C204" s="154"/>
      <c r="D204" s="154"/>
      <c r="E204" s="154"/>
      <c r="F204" s="61"/>
      <c r="G204" s="61"/>
      <c r="H204" s="61"/>
      <c r="I204" s="61"/>
      <c r="J204" s="61"/>
      <c r="K204" s="61"/>
      <c r="L204" s="61"/>
      <c r="M204" s="139"/>
      <c r="N204" s="139"/>
      <c r="O204" s="139"/>
      <c r="P204" s="139"/>
      <c r="Q204" s="139"/>
    </row>
    <row r="205" spans="2:17" ht="43.2" x14ac:dyDescent="0.3">
      <c r="B205" s="157" t="s">
        <v>206</v>
      </c>
      <c r="C205" s="158" t="s">
        <v>250</v>
      </c>
      <c r="D205" s="158" t="s">
        <v>104</v>
      </c>
      <c r="E205" s="158" t="s">
        <v>288</v>
      </c>
      <c r="F205" s="158" t="s">
        <v>120</v>
      </c>
      <c r="G205" s="159" t="s">
        <v>289</v>
      </c>
      <c r="H205" s="159" t="s">
        <v>105</v>
      </c>
      <c r="I205" s="159" t="s">
        <v>251</v>
      </c>
      <c r="J205" s="159" t="s">
        <v>256</v>
      </c>
      <c r="K205" s="159" t="s">
        <v>282</v>
      </c>
      <c r="L205" s="61"/>
      <c r="M205" s="139"/>
      <c r="N205" s="139"/>
      <c r="O205" s="139"/>
      <c r="P205" s="139"/>
      <c r="Q205" s="139"/>
    </row>
    <row r="206" spans="2:17" x14ac:dyDescent="0.3">
      <c r="B206" s="63" t="s">
        <v>184</v>
      </c>
      <c r="C206" s="226"/>
      <c r="D206" s="63"/>
      <c r="E206" s="63"/>
      <c r="F206" s="63"/>
      <c r="G206" s="63"/>
      <c r="H206" s="63"/>
      <c r="I206" s="238" t="e">
        <f t="shared" ref="I206:I211" si="9">(G206*2+F206)*D206/60/H206</f>
        <v>#DIV/0!</v>
      </c>
      <c r="J206" s="234" t="e">
        <f t="shared" ref="J206:J211" si="10">I206*C206</f>
        <v>#DIV/0!</v>
      </c>
      <c r="K206" s="238">
        <f>E206*C206*0.1171/1000</f>
        <v>0</v>
      </c>
      <c r="L206" s="61"/>
      <c r="M206" s="139"/>
      <c r="N206" s="139"/>
      <c r="O206" s="139"/>
      <c r="P206" s="139"/>
      <c r="Q206" s="139"/>
    </row>
    <row r="207" spans="2:17" x14ac:dyDescent="0.3">
      <c r="B207" s="63" t="s">
        <v>179</v>
      </c>
      <c r="C207" s="226"/>
      <c r="D207" s="63"/>
      <c r="E207" s="63"/>
      <c r="F207" s="63"/>
      <c r="G207" s="63"/>
      <c r="H207" s="63"/>
      <c r="I207" s="238" t="e">
        <f>(G207*2+F207)*D207/60/H207</f>
        <v>#DIV/0!</v>
      </c>
      <c r="J207" s="234" t="e">
        <f t="shared" si="10"/>
        <v>#DIV/0!</v>
      </c>
      <c r="K207" s="238">
        <f t="shared" ref="K207:K211" si="11">E207*C207*0.1171/1000</f>
        <v>0</v>
      </c>
      <c r="L207" s="61"/>
      <c r="M207" s="139"/>
      <c r="N207" s="139"/>
      <c r="O207" s="139"/>
      <c r="P207" s="139"/>
      <c r="Q207" s="139"/>
    </row>
    <row r="208" spans="2:17" x14ac:dyDescent="0.3">
      <c r="B208" s="63" t="s">
        <v>176</v>
      </c>
      <c r="C208" s="226"/>
      <c r="D208" s="63"/>
      <c r="E208" s="63"/>
      <c r="F208" s="63"/>
      <c r="G208" s="63"/>
      <c r="H208" s="63"/>
      <c r="I208" s="238" t="e">
        <f t="shared" si="9"/>
        <v>#DIV/0!</v>
      </c>
      <c r="J208" s="234" t="e">
        <f t="shared" si="10"/>
        <v>#DIV/0!</v>
      </c>
      <c r="K208" s="238">
        <f t="shared" si="11"/>
        <v>0</v>
      </c>
      <c r="L208" s="61"/>
      <c r="M208" s="237"/>
      <c r="N208" s="237"/>
      <c r="O208" s="139"/>
      <c r="P208" s="139"/>
      <c r="Q208" s="139"/>
    </row>
    <row r="209" spans="2:17" x14ac:dyDescent="0.3">
      <c r="B209" s="63" t="s">
        <v>177</v>
      </c>
      <c r="C209" s="226"/>
      <c r="D209" s="63"/>
      <c r="E209" s="63"/>
      <c r="F209" s="63"/>
      <c r="G209" s="63"/>
      <c r="H209" s="63"/>
      <c r="I209" s="238" t="e">
        <f t="shared" si="9"/>
        <v>#DIV/0!</v>
      </c>
      <c r="J209" s="234" t="e">
        <f t="shared" si="10"/>
        <v>#DIV/0!</v>
      </c>
      <c r="K209" s="238">
        <f t="shared" si="11"/>
        <v>0</v>
      </c>
      <c r="L209" s="61"/>
      <c r="M209" s="139"/>
      <c r="N209" s="139"/>
      <c r="O209" s="139"/>
      <c r="P209" s="139"/>
      <c r="Q209" s="139"/>
    </row>
    <row r="210" spans="2:17" x14ac:dyDescent="0.3">
      <c r="B210" s="63" t="s">
        <v>178</v>
      </c>
      <c r="C210" s="226"/>
      <c r="D210" s="63"/>
      <c r="E210" s="63"/>
      <c r="F210" s="63"/>
      <c r="G210" s="63"/>
      <c r="H210" s="63"/>
      <c r="I210" s="238" t="e">
        <f t="shared" si="9"/>
        <v>#DIV/0!</v>
      </c>
      <c r="J210" s="234" t="e">
        <f t="shared" si="10"/>
        <v>#DIV/0!</v>
      </c>
      <c r="K210" s="238">
        <f t="shared" si="11"/>
        <v>0</v>
      </c>
      <c r="L210" s="61"/>
      <c r="M210" s="139"/>
      <c r="N210" s="139"/>
      <c r="O210" s="139"/>
      <c r="P210" s="139"/>
      <c r="Q210" s="139"/>
    </row>
    <row r="211" spans="2:17" x14ac:dyDescent="0.3">
      <c r="B211" s="63" t="s">
        <v>126</v>
      </c>
      <c r="C211" s="226"/>
      <c r="D211" s="63"/>
      <c r="E211" s="63"/>
      <c r="F211" s="63"/>
      <c r="G211" s="63"/>
      <c r="H211" s="63"/>
      <c r="I211" s="238" t="e">
        <f t="shared" si="9"/>
        <v>#DIV/0!</v>
      </c>
      <c r="J211" s="234" t="e">
        <f t="shared" si="10"/>
        <v>#DIV/0!</v>
      </c>
      <c r="K211" s="238">
        <f t="shared" si="11"/>
        <v>0</v>
      </c>
      <c r="L211" s="61"/>
      <c r="M211" s="139"/>
      <c r="N211" s="139"/>
      <c r="O211" s="139"/>
      <c r="P211" s="139"/>
      <c r="Q211" s="139"/>
    </row>
    <row r="212" spans="2:17" ht="15" thickBot="1" x14ac:dyDescent="0.35">
      <c r="B212" s="156"/>
      <c r="C212" s="155"/>
      <c r="D212" s="155"/>
      <c r="E212" s="155"/>
      <c r="F212" s="155"/>
      <c r="G212" s="155"/>
      <c r="H212" s="155"/>
      <c r="I212" s="247" t="s">
        <v>283</v>
      </c>
      <c r="J212" s="248" t="e">
        <f>SUM(J206:J211)</f>
        <v>#DIV/0!</v>
      </c>
      <c r="K212" s="248">
        <f>SUM(K206:K211)</f>
        <v>0</v>
      </c>
      <c r="L212" s="155"/>
      <c r="M212" s="139"/>
      <c r="N212" s="139"/>
      <c r="O212" s="139"/>
      <c r="P212" s="139"/>
      <c r="Q212" s="139"/>
    </row>
    <row r="213" spans="2:17" x14ac:dyDescent="0.3">
      <c r="B213" s="21" t="s">
        <v>185</v>
      </c>
      <c r="C213" s="21"/>
      <c r="D213" s="21"/>
      <c r="E213" s="21"/>
      <c r="F213" s="21"/>
      <c r="G213" s="21"/>
      <c r="H213" s="21"/>
      <c r="I213" s="21"/>
      <c r="J213" s="21"/>
      <c r="K213" s="21"/>
      <c r="L213" s="21"/>
    </row>
    <row r="214" spans="2:17" x14ac:dyDescent="0.3">
      <c r="B214" s="18" t="s">
        <v>255</v>
      </c>
      <c r="C214" s="61"/>
      <c r="D214" s="61"/>
      <c r="E214" s="61"/>
      <c r="F214" s="61"/>
      <c r="G214" s="61"/>
      <c r="H214" s="61"/>
      <c r="I214" s="61"/>
      <c r="J214" s="49"/>
      <c r="K214" s="61"/>
      <c r="L214" s="62"/>
    </row>
    <row r="215" spans="2:17" x14ac:dyDescent="0.3">
      <c r="B215" s="236" t="s">
        <v>266</v>
      </c>
      <c r="C215" s="61"/>
      <c r="D215" s="61"/>
      <c r="E215" s="61"/>
      <c r="F215" s="61"/>
      <c r="G215" s="61"/>
      <c r="H215" s="61"/>
      <c r="I215" s="61"/>
      <c r="J215" s="49"/>
      <c r="K215" s="61"/>
      <c r="L215" s="62"/>
      <c r="M215" s="237"/>
      <c r="N215" s="237"/>
    </row>
    <row r="216" spans="2:17" x14ac:dyDescent="0.3">
      <c r="B216" s="19"/>
      <c r="C216" s="61"/>
      <c r="D216" s="61"/>
      <c r="E216" s="61"/>
      <c r="F216" s="61"/>
      <c r="G216" s="61"/>
      <c r="H216" s="61"/>
      <c r="I216" s="61" t="s">
        <v>133</v>
      </c>
      <c r="J216" s="150" t="s">
        <v>113</v>
      </c>
      <c r="K216" s="61"/>
      <c r="L216" s="62"/>
    </row>
    <row r="217" spans="2:17" x14ac:dyDescent="0.3">
      <c r="B217" s="19" t="s">
        <v>270</v>
      </c>
      <c r="C217" s="61"/>
      <c r="D217" s="61"/>
      <c r="E217" s="61"/>
      <c r="F217" s="61"/>
      <c r="G217" s="61"/>
      <c r="H217" s="61"/>
      <c r="I217" s="63"/>
      <c r="J217" s="63"/>
      <c r="K217" s="61"/>
      <c r="L217" s="62"/>
      <c r="M217" s="237"/>
      <c r="N217" s="237"/>
    </row>
    <row r="218" spans="2:17" x14ac:dyDescent="0.3">
      <c r="B218" s="19" t="s">
        <v>209</v>
      </c>
      <c r="C218" s="61"/>
      <c r="D218" s="61"/>
      <c r="E218" s="61"/>
      <c r="F218" s="61"/>
      <c r="G218" s="61"/>
      <c r="H218" s="61"/>
      <c r="I218" s="61"/>
      <c r="J218" s="49" t="str">
        <f>IF(AND(J217&lt;&gt;"",J214&lt;&gt;""),(J217+J214)*E21,"")</f>
        <v/>
      </c>
      <c r="K218" s="61"/>
      <c r="L218" s="62"/>
    </row>
    <row r="219" spans="2:17" x14ac:dyDescent="0.3">
      <c r="B219" s="19"/>
      <c r="C219" s="61"/>
      <c r="D219" s="61"/>
      <c r="E219" s="61"/>
      <c r="F219" s="61"/>
      <c r="G219" s="61"/>
      <c r="H219" s="61"/>
      <c r="I219" s="61"/>
      <c r="J219" s="61"/>
      <c r="K219" s="61"/>
      <c r="L219" s="61"/>
    </row>
    <row r="220" spans="2:17" x14ac:dyDescent="0.3">
      <c r="B220" s="21" t="s">
        <v>49</v>
      </c>
      <c r="C220" s="21"/>
      <c r="D220" s="21"/>
      <c r="E220" s="21"/>
      <c r="F220" s="21"/>
      <c r="G220" s="21"/>
      <c r="H220" s="21"/>
      <c r="I220" s="21"/>
      <c r="J220" s="21"/>
      <c r="K220" s="21"/>
      <c r="L220" s="21"/>
      <c r="M220" s="139"/>
      <c r="N220" s="139"/>
      <c r="O220" s="139"/>
      <c r="P220" s="139"/>
      <c r="Q220" s="139"/>
    </row>
    <row r="221" spans="2:17" x14ac:dyDescent="0.3">
      <c r="B221" s="228" t="s">
        <v>118</v>
      </c>
      <c r="C221" s="61"/>
      <c r="D221" s="61"/>
      <c r="E221" s="150"/>
      <c r="F221" s="150"/>
      <c r="G221" s="150"/>
      <c r="H221" s="150"/>
      <c r="I221" s="150"/>
      <c r="J221" s="150" t="s">
        <v>115</v>
      </c>
      <c r="K221" s="150"/>
      <c r="L221" s="62"/>
    </row>
    <row r="222" spans="2:17" x14ac:dyDescent="0.3">
      <c r="B222" s="72" t="s">
        <v>81</v>
      </c>
      <c r="C222" s="61"/>
      <c r="D222" s="61"/>
      <c r="E222" s="150"/>
      <c r="F222" s="150"/>
      <c r="G222" s="150"/>
      <c r="H222" s="150"/>
      <c r="I222" s="150"/>
      <c r="J222" s="217">
        <f>G34</f>
        <v>0</v>
      </c>
      <c r="K222" s="61"/>
      <c r="L222" s="62"/>
    </row>
    <row r="223" spans="2:17" x14ac:dyDescent="0.3">
      <c r="B223" s="72" t="s">
        <v>82</v>
      </c>
      <c r="C223" s="61"/>
      <c r="D223" s="61"/>
      <c r="E223" s="150"/>
      <c r="F223" s="150"/>
      <c r="G223" s="150"/>
      <c r="H223" s="150"/>
      <c r="I223" s="150"/>
      <c r="J223" s="217">
        <f>G28+G29+G30+G31</f>
        <v>0</v>
      </c>
      <c r="K223" s="61"/>
      <c r="L223" s="62"/>
    </row>
    <row r="224" spans="2:17" ht="17.399999999999999" customHeight="1" x14ac:dyDescent="0.3">
      <c r="B224" s="72" t="s">
        <v>83</v>
      </c>
      <c r="C224" s="61"/>
      <c r="D224" s="61"/>
      <c r="E224" s="150"/>
      <c r="F224" s="150"/>
      <c r="G224" s="150"/>
      <c r="H224" s="150"/>
      <c r="I224" s="150"/>
      <c r="J224" s="226">
        <v>0</v>
      </c>
      <c r="K224" s="61"/>
      <c r="L224" s="62"/>
    </row>
    <row r="225" spans="2:12" hidden="1" x14ac:dyDescent="0.3">
      <c r="B225" s="18" t="s">
        <v>117</v>
      </c>
      <c r="C225" s="61"/>
      <c r="D225" s="61"/>
      <c r="E225" s="150"/>
      <c r="F225" s="150"/>
      <c r="G225" s="150"/>
      <c r="H225" s="150"/>
      <c r="I225" s="150"/>
      <c r="J225" s="150" t="s">
        <v>116</v>
      </c>
      <c r="K225" s="61"/>
      <c r="L225" s="62"/>
    </row>
    <row r="226" spans="2:12" hidden="1" x14ac:dyDescent="0.3">
      <c r="B226" s="72" t="s">
        <v>81</v>
      </c>
      <c r="C226" s="61"/>
      <c r="D226" s="61"/>
      <c r="E226" s="150"/>
      <c r="F226" s="150"/>
      <c r="G226" s="150"/>
      <c r="H226" s="150"/>
      <c r="I226" s="150"/>
      <c r="J226" s="63">
        <v>30</v>
      </c>
      <c r="K226" s="61"/>
      <c r="L226" s="62"/>
    </row>
    <row r="227" spans="2:12" hidden="1" x14ac:dyDescent="0.3">
      <c r="B227" s="72" t="s">
        <v>82</v>
      </c>
      <c r="C227" s="61"/>
      <c r="D227" s="61"/>
      <c r="E227" s="150"/>
      <c r="F227" s="150"/>
      <c r="G227" s="150"/>
      <c r="H227" s="150"/>
      <c r="I227" s="150"/>
      <c r="J227" s="63">
        <v>30</v>
      </c>
      <c r="K227" s="61"/>
      <c r="L227" s="62"/>
    </row>
    <row r="228" spans="2:12" hidden="1" x14ac:dyDescent="0.3">
      <c r="B228" s="72" t="s">
        <v>83</v>
      </c>
      <c r="C228" s="61"/>
      <c r="D228" s="61"/>
      <c r="E228" s="150"/>
      <c r="F228" s="150"/>
      <c r="G228" s="150"/>
      <c r="H228" s="150"/>
      <c r="I228" s="150"/>
      <c r="J228" s="63">
        <v>0</v>
      </c>
      <c r="K228" s="61"/>
      <c r="L228" s="62"/>
    </row>
    <row r="229" spans="2:12" x14ac:dyDescent="0.3">
      <c r="B229" s="228" t="s">
        <v>181</v>
      </c>
      <c r="C229" s="61"/>
      <c r="D229" s="61"/>
      <c r="E229" s="150"/>
      <c r="F229" s="150"/>
      <c r="G229" s="150"/>
      <c r="H229" s="150"/>
      <c r="I229" s="150" t="s">
        <v>133</v>
      </c>
      <c r="J229" s="150" t="s">
        <v>113</v>
      </c>
      <c r="K229" s="61"/>
      <c r="L229" s="62"/>
    </row>
    <row r="230" spans="2:12" x14ac:dyDescent="0.3">
      <c r="B230" s="72" t="s">
        <v>81</v>
      </c>
      <c r="C230" s="61"/>
      <c r="D230" s="61"/>
      <c r="E230" s="150"/>
      <c r="F230" s="150"/>
      <c r="G230" s="150"/>
      <c r="H230" s="150"/>
      <c r="I230" s="233" t="e">
        <f>I207</f>
        <v>#DIV/0!</v>
      </c>
      <c r="J230" s="226" t="e">
        <f>IF(AND(J222&lt;&gt;"",I230&lt;&gt;""),I230*J222,"")</f>
        <v>#DIV/0!</v>
      </c>
      <c r="K230" s="61"/>
      <c r="L230" s="62"/>
    </row>
    <row r="231" spans="2:12" x14ac:dyDescent="0.3">
      <c r="B231" s="72" t="s">
        <v>82</v>
      </c>
      <c r="C231" s="61"/>
      <c r="D231" s="61"/>
      <c r="E231" s="150"/>
      <c r="F231" s="150"/>
      <c r="G231" s="150"/>
      <c r="H231" s="150"/>
      <c r="I231" s="233" t="e">
        <f>I208</f>
        <v>#DIV/0!</v>
      </c>
      <c r="J231" s="226" t="e">
        <f>IF(AND(J223&lt;&gt;"",I231&lt;&gt;""),I231*J223,"")</f>
        <v>#DIV/0!</v>
      </c>
      <c r="K231" s="61"/>
      <c r="L231" s="62"/>
    </row>
    <row r="232" spans="2:12" x14ac:dyDescent="0.3">
      <c r="B232" s="72" t="s">
        <v>83</v>
      </c>
      <c r="C232" s="61"/>
      <c r="D232" s="61"/>
      <c r="E232" s="150"/>
      <c r="F232" s="150"/>
      <c r="G232" s="150"/>
      <c r="H232" s="150"/>
      <c r="I232" s="233" t="e">
        <f>IF(I209&gt;0,C209*(((J228*2+'Business Case'!F209)/60)*'Business Case'!D209/'Business Case'!I209),"")</f>
        <v>#DIV/0!</v>
      </c>
      <c r="J232" s="226" t="e">
        <f t="shared" ref="J232" si="12">IF(AND(J224&lt;&gt;"",I232&lt;&gt;""),I232*J224,"")</f>
        <v>#DIV/0!</v>
      </c>
      <c r="K232" s="61"/>
      <c r="L232" s="62"/>
    </row>
    <row r="233" spans="2:12" x14ac:dyDescent="0.3">
      <c r="B233" s="18" t="s">
        <v>180</v>
      </c>
      <c r="C233" s="61"/>
      <c r="D233" s="61"/>
      <c r="E233" s="150"/>
      <c r="F233" s="150"/>
      <c r="G233" s="150"/>
      <c r="H233" s="150"/>
      <c r="I233" s="150"/>
      <c r="J233" s="226" t="e">
        <f>SUM(J230:J232)</f>
        <v>#DIV/0!</v>
      </c>
      <c r="K233" s="61"/>
      <c r="L233" s="62"/>
    </row>
    <row r="234" spans="2:12" x14ac:dyDescent="0.3">
      <c r="B234" s="25"/>
      <c r="C234" s="74"/>
      <c r="D234" s="74"/>
      <c r="E234" s="151"/>
      <c r="F234" s="151"/>
      <c r="G234" s="151"/>
      <c r="H234" s="151"/>
      <c r="I234" s="151"/>
      <c r="J234" s="151"/>
      <c r="K234" s="151"/>
      <c r="L234" s="152"/>
    </row>
    <row r="235" spans="2:12" x14ac:dyDescent="0.3">
      <c r="B235" s="21" t="s">
        <v>50</v>
      </c>
      <c r="C235" s="21"/>
      <c r="D235" s="21"/>
      <c r="E235" s="21"/>
      <c r="F235" s="21"/>
      <c r="G235" s="21"/>
      <c r="H235" s="21"/>
      <c r="I235" s="21"/>
      <c r="J235" s="21"/>
      <c r="K235" s="21"/>
      <c r="L235" s="21"/>
    </row>
    <row r="236" spans="2:12" x14ac:dyDescent="0.3">
      <c r="B236" s="228" t="s">
        <v>182</v>
      </c>
      <c r="C236" s="61"/>
      <c r="D236" s="61"/>
      <c r="E236" s="61"/>
      <c r="F236" s="61"/>
      <c r="G236" s="61"/>
      <c r="H236" s="61"/>
      <c r="I236" s="61"/>
      <c r="J236" s="150" t="s">
        <v>115</v>
      </c>
      <c r="K236" s="150"/>
      <c r="L236" s="62"/>
    </row>
    <row r="237" spans="2:12" x14ac:dyDescent="0.3">
      <c r="B237" s="72" t="s">
        <v>52</v>
      </c>
      <c r="C237" s="61"/>
      <c r="D237" s="61"/>
      <c r="E237" s="61"/>
      <c r="F237" s="61"/>
      <c r="G237" s="61"/>
      <c r="H237" s="61"/>
      <c r="I237" s="61"/>
      <c r="J237" s="49"/>
      <c r="K237" s="61"/>
      <c r="L237" s="62"/>
    </row>
    <row r="238" spans="2:12" x14ac:dyDescent="0.3">
      <c r="B238" s="72" t="s">
        <v>53</v>
      </c>
      <c r="C238" s="61"/>
      <c r="D238" s="61"/>
      <c r="E238" s="61"/>
      <c r="F238" s="61"/>
      <c r="G238" s="61"/>
      <c r="H238" s="61"/>
      <c r="I238" s="61"/>
      <c r="J238" s="49"/>
      <c r="K238" s="61"/>
      <c r="L238" s="62"/>
    </row>
    <row r="239" spans="2:12" hidden="1" x14ac:dyDescent="0.3">
      <c r="B239" s="18" t="s">
        <v>117</v>
      </c>
      <c r="C239" s="61"/>
      <c r="D239" s="61"/>
      <c r="E239" s="61"/>
      <c r="F239" s="61"/>
      <c r="G239" s="61"/>
      <c r="H239" s="61"/>
      <c r="I239" s="61"/>
      <c r="J239" s="150" t="s">
        <v>116</v>
      </c>
      <c r="K239" s="61"/>
      <c r="L239" s="62"/>
    </row>
    <row r="240" spans="2:12" hidden="1" x14ac:dyDescent="0.3">
      <c r="B240" s="72" t="s">
        <v>51</v>
      </c>
      <c r="C240" s="61"/>
      <c r="D240" s="61"/>
      <c r="E240" s="61"/>
      <c r="F240" s="61"/>
      <c r="G240" s="61"/>
      <c r="H240" s="61"/>
      <c r="I240" s="61"/>
      <c r="J240" s="49"/>
      <c r="K240" s="61"/>
      <c r="L240" s="62"/>
    </row>
    <row r="241" spans="2:12" hidden="1" x14ac:dyDescent="0.3">
      <c r="B241" s="72" t="s">
        <v>54</v>
      </c>
      <c r="C241" s="61"/>
      <c r="D241" s="61"/>
      <c r="E241" s="61"/>
      <c r="F241" s="61"/>
      <c r="G241" s="61"/>
      <c r="H241" s="61"/>
      <c r="I241" s="61"/>
      <c r="J241" s="49"/>
      <c r="K241" s="61"/>
      <c r="L241" s="62"/>
    </row>
    <row r="242" spans="2:12" x14ac:dyDescent="0.3">
      <c r="B242" s="228" t="s">
        <v>254</v>
      </c>
      <c r="C242" s="61"/>
      <c r="D242" s="61"/>
      <c r="E242" s="61"/>
      <c r="F242" s="61"/>
      <c r="G242" s="61"/>
      <c r="H242" s="61"/>
      <c r="I242" s="61" t="s">
        <v>133</v>
      </c>
      <c r="J242" s="150" t="s">
        <v>113</v>
      </c>
      <c r="K242" s="61"/>
      <c r="L242" s="62"/>
    </row>
    <row r="243" spans="2:12" x14ac:dyDescent="0.3">
      <c r="B243" s="72" t="s">
        <v>51</v>
      </c>
      <c r="C243" s="61"/>
      <c r="D243" s="61"/>
      <c r="E243" s="61"/>
      <c r="F243" s="61"/>
      <c r="G243" s="61"/>
      <c r="H243" s="61"/>
      <c r="I243" s="49"/>
      <c r="J243" s="217">
        <f>I243*C210</f>
        <v>0</v>
      </c>
      <c r="K243" s="61"/>
      <c r="L243" s="62"/>
    </row>
    <row r="244" spans="2:12" x14ac:dyDescent="0.3">
      <c r="B244" s="72" t="s">
        <v>54</v>
      </c>
      <c r="C244" s="61"/>
      <c r="D244" s="61"/>
      <c r="E244" s="61"/>
      <c r="F244" s="61"/>
      <c r="G244" s="61"/>
      <c r="H244" s="61"/>
      <c r="I244" s="49"/>
      <c r="J244" s="217">
        <f>C211*I244</f>
        <v>0</v>
      </c>
      <c r="K244" s="61"/>
      <c r="L244" s="62"/>
    </row>
    <row r="245" spans="2:12" x14ac:dyDescent="0.3">
      <c r="B245" s="228" t="s">
        <v>183</v>
      </c>
      <c r="C245" s="61"/>
      <c r="D245" s="61"/>
      <c r="E245" s="61"/>
      <c r="F245" s="61"/>
      <c r="G245" s="61"/>
      <c r="H245" s="61"/>
      <c r="I245" s="150" t="s">
        <v>133</v>
      </c>
      <c r="J245" s="150" t="s">
        <v>113</v>
      </c>
      <c r="K245" s="61"/>
      <c r="L245" s="62"/>
    </row>
    <row r="246" spans="2:12" x14ac:dyDescent="0.3">
      <c r="B246" s="72" t="s">
        <v>51</v>
      </c>
      <c r="C246" s="61"/>
      <c r="D246" s="61"/>
      <c r="E246" s="61"/>
      <c r="F246" s="61"/>
      <c r="G246" s="61"/>
      <c r="H246" s="61"/>
      <c r="I246" s="268" t="e">
        <f>I210</f>
        <v>#DIV/0!</v>
      </c>
      <c r="J246" s="226" t="e">
        <f>IF(AND(J237&lt;&gt;"",I246&lt;&gt;"",I243&lt;&gt;""),(I246+I243)*J237,"")</f>
        <v>#DIV/0!</v>
      </c>
      <c r="K246" s="61"/>
      <c r="L246" s="62"/>
    </row>
    <row r="247" spans="2:12" x14ac:dyDescent="0.3">
      <c r="B247" s="72" t="s">
        <v>54</v>
      </c>
      <c r="C247" s="61"/>
      <c r="D247" s="61"/>
      <c r="E247" s="61"/>
      <c r="F247" s="61"/>
      <c r="G247" s="61"/>
      <c r="H247" s="61"/>
      <c r="I247" s="268" t="e">
        <f>I211</f>
        <v>#DIV/0!</v>
      </c>
      <c r="J247" s="226" t="e">
        <f>I247*C211</f>
        <v>#DIV/0!</v>
      </c>
      <c r="K247" s="61"/>
      <c r="L247" s="62"/>
    </row>
    <row r="248" spans="2:12" x14ac:dyDescent="0.3">
      <c r="B248" s="18" t="s">
        <v>290</v>
      </c>
      <c r="C248" s="61"/>
      <c r="D248" s="61"/>
      <c r="E248" s="150"/>
      <c r="F248" s="150"/>
      <c r="G248" s="150"/>
      <c r="H248" s="150"/>
      <c r="I248" s="150"/>
      <c r="J248" s="226" t="e">
        <f>SUM(J243:J244,J246:J247)</f>
        <v>#DIV/0!</v>
      </c>
      <c r="K248" s="74"/>
      <c r="L248" s="75"/>
    </row>
    <row r="249" spans="2:12" ht="43.2" x14ac:dyDescent="0.3">
      <c r="B249" s="64"/>
      <c r="C249" s="45"/>
      <c r="D249" s="45"/>
      <c r="E249" s="45" t="s">
        <v>262</v>
      </c>
      <c r="F249" s="45"/>
      <c r="G249" s="45"/>
      <c r="H249" s="45" t="s">
        <v>258</v>
      </c>
      <c r="I249" s="45"/>
      <c r="J249" s="45"/>
      <c r="K249" s="246" t="s">
        <v>282</v>
      </c>
      <c r="L249" s="47"/>
    </row>
    <row r="250" spans="2:12" x14ac:dyDescent="0.3">
      <c r="B250" s="65" t="s">
        <v>208</v>
      </c>
      <c r="C250" s="31"/>
      <c r="D250" s="31"/>
      <c r="E250" s="217" t="e">
        <f>SUM(J218,J233,J248)</f>
        <v>#DIV/0!</v>
      </c>
      <c r="F250" s="31"/>
      <c r="G250" s="31"/>
      <c r="H250" s="217" t="e">
        <f>H200-SUM(J218,J233,J248)</f>
        <v>#DIV/0!</v>
      </c>
      <c r="I250" s="31"/>
      <c r="J250" s="31"/>
      <c r="K250" s="217">
        <f>SUM(K206:K211)</f>
        <v>0</v>
      </c>
      <c r="L250" s="50"/>
    </row>
    <row r="251" spans="2:12" x14ac:dyDescent="0.3">
      <c r="B251" s="66"/>
      <c r="C251" s="67"/>
      <c r="D251" s="67"/>
      <c r="E251" s="67"/>
      <c r="F251" s="67"/>
      <c r="G251" s="67"/>
      <c r="H251" s="67"/>
      <c r="I251" s="67"/>
      <c r="J251" s="67"/>
      <c r="K251" s="67"/>
      <c r="L251" s="68"/>
    </row>
    <row r="252" spans="2:12" x14ac:dyDescent="0.3">
      <c r="B252" s="31"/>
      <c r="C252" s="31"/>
      <c r="D252" s="31"/>
      <c r="E252" s="31"/>
      <c r="F252" s="31"/>
      <c r="G252" s="31"/>
      <c r="H252" s="31"/>
      <c r="I252" s="31"/>
      <c r="J252" s="31"/>
      <c r="K252" s="31"/>
      <c r="L252" s="31"/>
    </row>
    <row r="253" spans="2:12" x14ac:dyDescent="0.3">
      <c r="B253" s="31"/>
      <c r="C253" s="31"/>
      <c r="D253" s="31"/>
      <c r="E253" s="31"/>
      <c r="F253" s="31"/>
      <c r="G253" s="31"/>
      <c r="H253" s="31"/>
      <c r="I253" s="31"/>
      <c r="J253" s="31"/>
      <c r="K253" s="31"/>
      <c r="L253" s="31"/>
    </row>
    <row r="263" spans="3:3" x14ac:dyDescent="0.3">
      <c r="C263" s="29" t="s">
        <v>134</v>
      </c>
    </row>
  </sheetData>
  <mergeCells count="14">
    <mergeCell ref="I98:L98"/>
    <mergeCell ref="B97:O97"/>
    <mergeCell ref="B114:O114"/>
    <mergeCell ref="B64:L64"/>
    <mergeCell ref="I100:I104"/>
    <mergeCell ref="I105:I108"/>
    <mergeCell ref="I109:I111"/>
    <mergeCell ref="B99:F99"/>
    <mergeCell ref="M115:O115"/>
    <mergeCell ref="B169:B170"/>
    <mergeCell ref="H169:H170"/>
    <mergeCell ref="I169:I170"/>
    <mergeCell ref="J169:J170"/>
    <mergeCell ref="C169:G169"/>
  </mergeCells>
  <phoneticPr fontId="15" type="noConversion"/>
  <dataValidations count="1">
    <dataValidation type="list" allowBlank="1" showInputMessage="1" showErrorMessage="1" sqref="E129:E143 E117:E126" xr:uid="{00000000-0002-0000-0000-000000000000}">
      <formula1>$J$100:$J$111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'Data (masquer)'!$A$1:$A$4</xm:f>
          </x14:formula1>
          <xm:sqref>E10</xm:sqref>
        </x14:dataValidation>
        <x14:dataValidation type="list" allowBlank="1" showInputMessage="1" showErrorMessage="1" xr:uid="{00000000-0002-0000-0000-000002000000}">
          <x14:formula1>
            <xm:f>'Price List'!$B$10:$B$15</xm:f>
          </x14:formula1>
          <xm:sqref>C171:G175</xm:sqref>
        </x14:dataValidation>
        <x14:dataValidation type="list" allowBlank="1" showInputMessage="1" showErrorMessage="1" xr:uid="{00000000-0002-0000-0000-000003000000}">
          <x14:formula1>
            <xm:f>'Price List'!$B$4:$B$7</xm:f>
          </x14:formula1>
          <xm:sqref>H163 H165</xm:sqref>
        </x14:dataValidation>
        <x14:dataValidation type="list" allowBlank="1" showInputMessage="1" showErrorMessage="1" xr:uid="{00000000-0002-0000-0000-000004000000}">
          <x14:formula1>
            <xm:f>'Price List'!$B$23:$B$25</xm:f>
          </x14:formula1>
          <xm:sqref>E178</xm:sqref>
        </x14:dataValidation>
        <x14:dataValidation type="list" allowBlank="1" showInputMessage="1" showErrorMessage="1" xr:uid="{00000000-0002-0000-0000-000005000000}">
          <x14:formula1>
            <xm:f>'Price List'!$B$18:$B$20</xm:f>
          </x14:formula1>
          <xm:sqref>E159</xm:sqref>
        </x14:dataValidation>
        <x14:dataValidation type="list" allowBlank="1" showInputMessage="1" showErrorMessage="1" xr:uid="{00000000-0002-0000-0000-000006000000}">
          <x14:formula1>
            <xm:f>'Price List'!$F$5:$F$25</xm:f>
          </x14:formula1>
          <xm:sqref>B117:B143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7"/>
  <sheetViews>
    <sheetView showGridLines="0" workbookViewId="0">
      <selection activeCell="C10" sqref="A2:C10"/>
    </sheetView>
  </sheetViews>
  <sheetFormatPr baseColWidth="10" defaultRowHeight="14.4" x14ac:dyDescent="0.3"/>
  <cols>
    <col min="1" max="1" width="38.5546875" bestFit="1" customWidth="1"/>
  </cols>
  <sheetData>
    <row r="2" spans="1:2" x14ac:dyDescent="0.3">
      <c r="A2" t="s">
        <v>268</v>
      </c>
      <c r="B2" s="239">
        <f>'Business Case'!H60</f>
        <v>0</v>
      </c>
    </row>
    <row r="3" spans="1:2" x14ac:dyDescent="0.3">
      <c r="A3" t="str">
        <f>'Business Case'!E74</f>
        <v>Preliminary studies costs [€]</v>
      </c>
      <c r="B3" s="239">
        <f>-'Business Case'!E75</f>
        <v>0</v>
      </c>
    </row>
    <row r="4" spans="1:2" x14ac:dyDescent="0.3">
      <c r="A4" t="s">
        <v>264</v>
      </c>
      <c r="B4" s="239">
        <f>-'Business Case'!E94</f>
        <v>0</v>
      </c>
    </row>
    <row r="5" spans="1:2" x14ac:dyDescent="0.3">
      <c r="A5" s="31" t="s">
        <v>263</v>
      </c>
      <c r="B5" s="239">
        <f>-'Business Case'!E200</f>
        <v>0</v>
      </c>
    </row>
    <row r="6" spans="1:2" x14ac:dyDescent="0.3">
      <c r="A6" s="240" t="s">
        <v>262</v>
      </c>
      <c r="B6" s="241" t="e">
        <f>-'Business Case'!E250</f>
        <v>#DIV/0!</v>
      </c>
    </row>
    <row r="7" spans="1:2" x14ac:dyDescent="0.3">
      <c r="A7" s="45" t="s">
        <v>258</v>
      </c>
      <c r="B7" s="239" t="e">
        <f>'Business Case'!H250</f>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Y72"/>
  <sheetViews>
    <sheetView showGridLines="0" tabSelected="1" topLeftCell="J1" workbookViewId="0">
      <selection activeCell="Q1" sqref="Q1"/>
    </sheetView>
  </sheetViews>
  <sheetFormatPr baseColWidth="10" defaultRowHeight="14.4" x14ac:dyDescent="0.3"/>
  <cols>
    <col min="1" max="1" width="8.5546875" customWidth="1"/>
    <col min="2" max="2" width="25.6640625" customWidth="1"/>
    <col min="3" max="3" width="17.6640625" customWidth="1"/>
    <col min="4" max="5" width="20.6640625" customWidth="1"/>
    <col min="6" max="6" width="25.6640625" customWidth="1"/>
    <col min="9" max="12" width="17.109375" customWidth="1"/>
    <col min="13" max="13" width="22.6640625" bestFit="1" customWidth="1"/>
    <col min="14" max="14" width="21.109375" customWidth="1"/>
    <col min="15" max="15" width="15.88671875" customWidth="1"/>
    <col min="17" max="17" width="14" customWidth="1"/>
  </cols>
  <sheetData>
    <row r="1" spans="1:17" ht="27.6" thickBot="1" x14ac:dyDescent="0.65">
      <c r="D1" s="27" t="s">
        <v>91</v>
      </c>
      <c r="E1" s="27"/>
      <c r="Q1" s="300"/>
    </row>
    <row r="2" spans="1:17" ht="15" thickBot="1" x14ac:dyDescent="0.35">
      <c r="A2" s="129"/>
      <c r="B2" s="130" t="s">
        <v>171</v>
      </c>
      <c r="C2" s="130"/>
      <c r="D2" s="130"/>
      <c r="E2" s="130"/>
      <c r="F2" s="130"/>
      <c r="G2" s="130"/>
      <c r="H2" s="130"/>
      <c r="I2" s="130"/>
      <c r="J2" s="130"/>
      <c r="K2" s="130"/>
      <c r="L2" s="130"/>
      <c r="M2" s="130"/>
      <c r="N2" s="131"/>
      <c r="O2" s="109"/>
      <c r="P2" s="109"/>
      <c r="Q2" s="109"/>
    </row>
    <row r="3" spans="1:17" ht="15" thickBot="1" x14ac:dyDescent="0.35">
      <c r="A3" s="132"/>
      <c r="B3" s="133" t="s">
        <v>93</v>
      </c>
      <c r="C3" s="141" t="s">
        <v>102</v>
      </c>
      <c r="D3" s="123"/>
      <c r="E3" s="123"/>
      <c r="F3" s="297" t="s">
        <v>170</v>
      </c>
      <c r="G3" s="298"/>
      <c r="H3" s="298"/>
      <c r="I3" s="299"/>
      <c r="J3" s="166"/>
      <c r="K3" s="166" t="s">
        <v>229</v>
      </c>
      <c r="L3" s="166" t="s">
        <v>284</v>
      </c>
      <c r="M3" s="166" t="s">
        <v>285</v>
      </c>
      <c r="N3" s="134"/>
      <c r="O3" s="109"/>
      <c r="P3" s="109"/>
      <c r="Q3" s="109"/>
    </row>
    <row r="4" spans="1:17" x14ac:dyDescent="0.3">
      <c r="A4" s="132"/>
      <c r="B4" s="84" t="s">
        <v>169</v>
      </c>
      <c r="C4" s="210">
        <v>17</v>
      </c>
      <c r="D4" s="122"/>
      <c r="E4" s="122"/>
      <c r="F4" s="170" t="s">
        <v>166</v>
      </c>
      <c r="G4" s="176" t="s">
        <v>223</v>
      </c>
      <c r="H4" s="177" t="s">
        <v>124</v>
      </c>
      <c r="I4" s="176" t="s">
        <v>214</v>
      </c>
      <c r="J4" s="177" t="s">
        <v>124</v>
      </c>
      <c r="K4" s="167"/>
      <c r="L4" s="167"/>
      <c r="M4" s="167"/>
      <c r="N4" s="135"/>
      <c r="P4" s="109"/>
      <c r="Q4" s="109"/>
    </row>
    <row r="5" spans="1:17" x14ac:dyDescent="0.3">
      <c r="A5" s="132"/>
      <c r="B5" s="84" t="s">
        <v>168</v>
      </c>
      <c r="C5" s="210">
        <v>50</v>
      </c>
      <c r="D5" s="122"/>
      <c r="E5" s="122"/>
      <c r="F5" s="171" t="s">
        <v>217</v>
      </c>
      <c r="G5" s="178">
        <v>200</v>
      </c>
      <c r="H5" s="175" t="s">
        <v>224</v>
      </c>
      <c r="I5" s="178">
        <f>65*8</f>
        <v>520</v>
      </c>
      <c r="J5" s="121" t="s">
        <v>216</v>
      </c>
      <c r="K5" s="168" t="s">
        <v>125</v>
      </c>
      <c r="L5" s="168">
        <f>9*6</f>
        <v>54</v>
      </c>
      <c r="M5" s="168">
        <f>L5*3.165</f>
        <v>170.91</v>
      </c>
      <c r="N5" s="135"/>
      <c r="P5" s="110"/>
      <c r="Q5" s="85"/>
    </row>
    <row r="6" spans="1:17" x14ac:dyDescent="0.3">
      <c r="A6" s="132"/>
      <c r="B6" s="84" t="s">
        <v>167</v>
      </c>
      <c r="C6" s="210">
        <v>80</v>
      </c>
      <c r="D6" s="122"/>
      <c r="E6" s="122"/>
      <c r="F6" s="171" t="s">
        <v>218</v>
      </c>
      <c r="G6" s="179">
        <v>400</v>
      </c>
      <c r="H6" s="175" t="s">
        <v>224</v>
      </c>
      <c r="I6" s="182">
        <f>90*8</f>
        <v>720</v>
      </c>
      <c r="J6" s="121" t="s">
        <v>216</v>
      </c>
      <c r="K6" s="168" t="s">
        <v>125</v>
      </c>
      <c r="L6" s="168">
        <f>12*6</f>
        <v>72</v>
      </c>
      <c r="M6" s="168">
        <f t="shared" ref="M6:M26" si="0">L6*3.165</f>
        <v>227.88</v>
      </c>
      <c r="N6" s="135"/>
    </row>
    <row r="7" spans="1:17" x14ac:dyDescent="0.3">
      <c r="A7" s="132"/>
      <c r="B7" s="84" t="s">
        <v>160</v>
      </c>
      <c r="C7" s="84"/>
      <c r="D7" s="122"/>
      <c r="E7" s="122"/>
      <c r="F7" s="172" t="s">
        <v>219</v>
      </c>
      <c r="G7" s="179">
        <v>750</v>
      </c>
      <c r="H7" s="175" t="s">
        <v>224</v>
      </c>
      <c r="I7" s="182">
        <f>100*8</f>
        <v>800</v>
      </c>
      <c r="J7" s="121" t="s">
        <v>216</v>
      </c>
      <c r="K7" s="168" t="s">
        <v>125</v>
      </c>
      <c r="L7" s="168">
        <f>14*6</f>
        <v>84</v>
      </c>
      <c r="M7" s="168">
        <f t="shared" si="0"/>
        <v>265.86</v>
      </c>
      <c r="N7" s="135"/>
      <c r="P7" s="110"/>
    </row>
    <row r="8" spans="1:17" x14ac:dyDescent="0.3">
      <c r="A8" s="132"/>
      <c r="B8" s="122"/>
      <c r="C8" s="122"/>
      <c r="D8" s="122"/>
      <c r="E8" s="122"/>
      <c r="F8" s="172" t="s">
        <v>220</v>
      </c>
      <c r="G8" s="179">
        <v>1000</v>
      </c>
      <c r="H8" s="175" t="s">
        <v>224</v>
      </c>
      <c r="I8" s="182">
        <f>115*8</f>
        <v>920</v>
      </c>
      <c r="J8" s="121" t="s">
        <v>216</v>
      </c>
      <c r="K8" s="168" t="s">
        <v>125</v>
      </c>
      <c r="L8" s="168">
        <f>16*6</f>
        <v>96</v>
      </c>
      <c r="M8" s="168">
        <f t="shared" si="0"/>
        <v>303.84000000000003</v>
      </c>
      <c r="N8" s="135"/>
    </row>
    <row r="9" spans="1:17" ht="28.8" x14ac:dyDescent="0.3">
      <c r="A9" s="132"/>
      <c r="B9" s="118" t="s">
        <v>200</v>
      </c>
      <c r="C9" s="149" t="s">
        <v>201</v>
      </c>
      <c r="D9" s="122"/>
      <c r="E9" s="122"/>
      <c r="F9" s="172" t="s">
        <v>221</v>
      </c>
      <c r="G9" s="179">
        <v>1500</v>
      </c>
      <c r="H9" s="175" t="s">
        <v>224</v>
      </c>
      <c r="I9" s="179">
        <f>135*8</f>
        <v>1080</v>
      </c>
      <c r="J9" s="121" t="s">
        <v>216</v>
      </c>
      <c r="K9" s="168" t="s">
        <v>125</v>
      </c>
      <c r="L9" s="168">
        <f>18*6</f>
        <v>108</v>
      </c>
      <c r="M9" s="168">
        <f t="shared" si="0"/>
        <v>341.82</v>
      </c>
      <c r="N9" s="135"/>
      <c r="P9" s="13"/>
      <c r="Q9" s="13"/>
    </row>
    <row r="10" spans="1:17" x14ac:dyDescent="0.3">
      <c r="A10" s="132"/>
      <c r="B10" s="84" t="s">
        <v>190</v>
      </c>
      <c r="C10" s="210">
        <v>100</v>
      </c>
      <c r="D10" s="122"/>
      <c r="E10" s="122"/>
      <c r="F10" s="172" t="s">
        <v>96</v>
      </c>
      <c r="G10" s="178">
        <v>250</v>
      </c>
      <c r="H10" s="175" t="s">
        <v>224</v>
      </c>
      <c r="I10" s="178">
        <f>100*8</f>
        <v>800</v>
      </c>
      <c r="J10" s="121" t="s">
        <v>216</v>
      </c>
      <c r="K10" s="168" t="s">
        <v>125</v>
      </c>
      <c r="L10" s="249">
        <f>30*6</f>
        <v>180</v>
      </c>
      <c r="M10" s="168">
        <f t="shared" si="0"/>
        <v>569.70000000000005</v>
      </c>
      <c r="N10" s="135"/>
    </row>
    <row r="11" spans="1:17" x14ac:dyDescent="0.3">
      <c r="A11" s="132"/>
      <c r="B11" s="116" t="s">
        <v>186</v>
      </c>
      <c r="C11" s="211">
        <v>10</v>
      </c>
      <c r="D11" s="122"/>
      <c r="E11" s="122"/>
      <c r="F11" s="172" t="s">
        <v>97</v>
      </c>
      <c r="G11" s="178">
        <v>250</v>
      </c>
      <c r="H11" s="175" t="s">
        <v>224</v>
      </c>
      <c r="I11" s="178">
        <f>95*8</f>
        <v>760</v>
      </c>
      <c r="J11" s="121" t="s">
        <v>216</v>
      </c>
      <c r="K11" s="168" t="s">
        <v>125</v>
      </c>
      <c r="L11" s="249">
        <f>20*6</f>
        <v>120</v>
      </c>
      <c r="M11" s="168">
        <f t="shared" si="0"/>
        <v>379.8</v>
      </c>
      <c r="N11" s="135"/>
    </row>
    <row r="12" spans="1:17" x14ac:dyDescent="0.3">
      <c r="A12" s="132"/>
      <c r="B12" s="148" t="s">
        <v>187</v>
      </c>
      <c r="C12" s="211">
        <v>5</v>
      </c>
      <c r="D12" s="122"/>
      <c r="E12" s="122"/>
      <c r="F12" s="172" t="s">
        <v>98</v>
      </c>
      <c r="G12" s="178">
        <v>2250</v>
      </c>
      <c r="H12" s="175" t="s">
        <v>224</v>
      </c>
      <c r="I12" s="178">
        <f>100*8</f>
        <v>800</v>
      </c>
      <c r="J12" s="121" t="s">
        <v>216</v>
      </c>
      <c r="K12" s="168" t="s">
        <v>125</v>
      </c>
      <c r="L12" s="168">
        <f>15*6</f>
        <v>90</v>
      </c>
      <c r="M12" s="168">
        <f t="shared" si="0"/>
        <v>284.85000000000002</v>
      </c>
      <c r="N12" s="135"/>
    </row>
    <row r="13" spans="1:17" x14ac:dyDescent="0.3">
      <c r="A13" s="132"/>
      <c r="B13" s="15" t="s">
        <v>188</v>
      </c>
      <c r="C13" s="211">
        <v>20</v>
      </c>
      <c r="D13" s="122"/>
      <c r="E13" s="122"/>
      <c r="F13" s="173" t="s">
        <v>99</v>
      </c>
      <c r="G13" s="178">
        <v>1250</v>
      </c>
      <c r="H13" s="175" t="s">
        <v>224</v>
      </c>
      <c r="I13" s="209">
        <f>80*8</f>
        <v>640</v>
      </c>
      <c r="J13" s="121" t="s">
        <v>216</v>
      </c>
      <c r="K13" s="168" t="s">
        <v>125</v>
      </c>
      <c r="L13" s="168">
        <f>10*6</f>
        <v>60</v>
      </c>
      <c r="M13" s="168">
        <f t="shared" si="0"/>
        <v>189.9</v>
      </c>
      <c r="N13" s="135"/>
    </row>
    <row r="14" spans="1:17" x14ac:dyDescent="0.3">
      <c r="A14" s="132"/>
      <c r="B14" s="15" t="s">
        <v>248</v>
      </c>
      <c r="C14" s="211">
        <v>2</v>
      </c>
      <c r="D14" s="122"/>
      <c r="E14" s="122"/>
      <c r="F14" s="173"/>
      <c r="G14" s="178"/>
      <c r="H14" s="175"/>
      <c r="I14" s="209"/>
      <c r="J14" s="121"/>
      <c r="K14" s="168"/>
      <c r="L14" s="168"/>
      <c r="M14" s="168">
        <f t="shared" si="0"/>
        <v>0</v>
      </c>
      <c r="N14" s="135"/>
    </row>
    <row r="15" spans="1:17" ht="28.8" x14ac:dyDescent="0.3">
      <c r="A15" s="132"/>
      <c r="B15" s="140" t="s">
        <v>189</v>
      </c>
      <c r="C15" s="211">
        <v>50</v>
      </c>
      <c r="D15" s="122"/>
      <c r="E15" s="122"/>
      <c r="F15" s="174" t="s">
        <v>100</v>
      </c>
      <c r="G15" s="178">
        <v>3000</v>
      </c>
      <c r="H15" s="175" t="s">
        <v>225</v>
      </c>
      <c r="I15" s="209">
        <f>80*8</f>
        <v>640</v>
      </c>
      <c r="J15" s="121" t="s">
        <v>216</v>
      </c>
      <c r="K15" s="168" t="s">
        <v>125</v>
      </c>
      <c r="L15" s="168">
        <f>8*6</f>
        <v>48</v>
      </c>
      <c r="M15" s="168">
        <f t="shared" si="0"/>
        <v>151.92000000000002</v>
      </c>
      <c r="N15" s="135"/>
    </row>
    <row r="16" spans="1:17" x14ac:dyDescent="0.3">
      <c r="A16" s="132"/>
      <c r="B16" s="122"/>
      <c r="C16" s="122"/>
      <c r="D16" s="122"/>
      <c r="E16" s="122"/>
      <c r="F16" s="172" t="s">
        <v>213</v>
      </c>
      <c r="G16" s="178">
        <v>125</v>
      </c>
      <c r="H16" s="175" t="s">
        <v>224</v>
      </c>
      <c r="I16" s="178">
        <f>75*8</f>
        <v>600</v>
      </c>
      <c r="J16" s="121" t="s">
        <v>216</v>
      </c>
      <c r="K16" s="168" t="s">
        <v>125</v>
      </c>
      <c r="L16" s="168">
        <f>8*6</f>
        <v>48</v>
      </c>
      <c r="M16" s="168">
        <f t="shared" si="0"/>
        <v>151.92000000000002</v>
      </c>
      <c r="N16" s="135"/>
    </row>
    <row r="17" spans="1:18" x14ac:dyDescent="0.3">
      <c r="A17" s="132"/>
      <c r="B17" s="118" t="s">
        <v>154</v>
      </c>
      <c r="C17" s="119" t="s">
        <v>102</v>
      </c>
      <c r="D17" s="122"/>
      <c r="E17" s="122"/>
      <c r="F17" s="172" t="s">
        <v>215</v>
      </c>
      <c r="G17" s="178">
        <v>25</v>
      </c>
      <c r="H17" s="175" t="s">
        <v>226</v>
      </c>
      <c r="I17" s="178">
        <f>86.76*8</f>
        <v>694.08</v>
      </c>
      <c r="J17" s="121" t="s">
        <v>216</v>
      </c>
      <c r="K17" s="168" t="s">
        <v>125</v>
      </c>
      <c r="L17" s="168">
        <f>15*6</f>
        <v>90</v>
      </c>
      <c r="M17" s="168">
        <f t="shared" si="0"/>
        <v>284.85000000000002</v>
      </c>
      <c r="N17" s="135"/>
    </row>
    <row r="18" spans="1:18" x14ac:dyDescent="0.3">
      <c r="A18" s="132"/>
      <c r="B18" s="84" t="s">
        <v>153</v>
      </c>
      <c r="C18" s="84">
        <v>0</v>
      </c>
      <c r="D18" s="122"/>
      <c r="E18" s="122"/>
      <c r="F18" s="172" t="s">
        <v>222</v>
      </c>
      <c r="G18" s="178"/>
      <c r="H18" s="175"/>
      <c r="I18" s="178">
        <v>350</v>
      </c>
      <c r="J18" s="121" t="s">
        <v>124</v>
      </c>
      <c r="K18" s="168" t="s">
        <v>124</v>
      </c>
      <c r="L18" s="168"/>
      <c r="M18" s="168">
        <f t="shared" si="0"/>
        <v>0</v>
      </c>
      <c r="N18" s="135"/>
    </row>
    <row r="19" spans="1:18" x14ac:dyDescent="0.3">
      <c r="A19" s="132"/>
      <c r="B19" s="116" t="s">
        <v>127</v>
      </c>
      <c r="C19" s="117">
        <v>1.5</v>
      </c>
      <c r="D19" s="122"/>
      <c r="E19" s="122"/>
      <c r="F19" s="173" t="s">
        <v>230</v>
      </c>
      <c r="G19" s="178">
        <v>25</v>
      </c>
      <c r="H19" s="175" t="s">
        <v>226</v>
      </c>
      <c r="I19" s="178">
        <f>70*8</f>
        <v>560</v>
      </c>
      <c r="J19" s="121" t="s">
        <v>216</v>
      </c>
      <c r="K19" s="168" t="s">
        <v>125</v>
      </c>
      <c r="L19" s="168">
        <f>20*6</f>
        <v>120</v>
      </c>
      <c r="M19" s="168">
        <f t="shared" si="0"/>
        <v>379.8</v>
      </c>
      <c r="N19" s="135"/>
    </row>
    <row r="20" spans="1:18" x14ac:dyDescent="0.3">
      <c r="A20" s="132"/>
      <c r="B20" s="15" t="s">
        <v>152</v>
      </c>
      <c r="C20" s="211">
        <v>3</v>
      </c>
      <c r="D20" s="122"/>
      <c r="E20" s="122"/>
      <c r="F20" s="172" t="s">
        <v>231</v>
      </c>
      <c r="G20" s="178">
        <v>15</v>
      </c>
      <c r="H20" s="175" t="s">
        <v>226</v>
      </c>
      <c r="I20" s="178">
        <f>75*8</f>
        <v>600</v>
      </c>
      <c r="J20" s="121" t="s">
        <v>216</v>
      </c>
      <c r="K20" s="168" t="s">
        <v>125</v>
      </c>
      <c r="L20" s="168">
        <f>15*6</f>
        <v>90</v>
      </c>
      <c r="M20" s="168">
        <f t="shared" si="0"/>
        <v>284.85000000000002</v>
      </c>
      <c r="N20" s="135"/>
    </row>
    <row r="21" spans="1:18" x14ac:dyDescent="0.3">
      <c r="A21" s="132"/>
      <c r="B21" s="122"/>
      <c r="C21" s="122"/>
      <c r="D21" s="122"/>
      <c r="E21" s="122"/>
      <c r="F21" s="172" t="s">
        <v>232</v>
      </c>
      <c r="G21" s="178" t="s">
        <v>239</v>
      </c>
      <c r="H21" s="175" t="s">
        <v>234</v>
      </c>
      <c r="I21" s="178">
        <v>2</v>
      </c>
      <c r="J21" s="121" t="s">
        <v>233</v>
      </c>
      <c r="K21" s="168" t="s">
        <v>235</v>
      </c>
      <c r="L21" s="250">
        <f>10*8/1500</f>
        <v>5.3333333333333337E-2</v>
      </c>
      <c r="M21" s="168">
        <f t="shared" si="0"/>
        <v>0.16880000000000001</v>
      </c>
      <c r="N21" s="135"/>
      <c r="O21" s="13"/>
      <c r="P21" s="13"/>
      <c r="Q21" s="13"/>
      <c r="R21" s="13"/>
    </row>
    <row r="22" spans="1:18" x14ac:dyDescent="0.3">
      <c r="A22" s="132"/>
      <c r="B22" s="103" t="s">
        <v>67</v>
      </c>
      <c r="C22" s="120" t="s">
        <v>101</v>
      </c>
      <c r="D22" s="122"/>
      <c r="E22" s="122"/>
      <c r="F22" s="172" t="s">
        <v>238</v>
      </c>
      <c r="G22" s="178" t="s">
        <v>239</v>
      </c>
      <c r="H22" s="175" t="s">
        <v>234</v>
      </c>
      <c r="I22" s="178">
        <v>10</v>
      </c>
      <c r="J22" s="121" t="s">
        <v>233</v>
      </c>
      <c r="K22" s="168" t="s">
        <v>235</v>
      </c>
      <c r="L22" s="250">
        <f>20*8/1500</f>
        <v>0.10666666666666667</v>
      </c>
      <c r="M22" s="168">
        <f t="shared" si="0"/>
        <v>0.33760000000000001</v>
      </c>
      <c r="N22" s="135"/>
      <c r="P22" s="13"/>
      <c r="Q22" s="13"/>
    </row>
    <row r="23" spans="1:18" x14ac:dyDescent="0.3">
      <c r="A23" s="132"/>
      <c r="B23" s="15" t="s">
        <v>95</v>
      </c>
      <c r="C23" s="84">
        <v>26</v>
      </c>
      <c r="D23" s="122"/>
      <c r="E23" s="122"/>
      <c r="F23" s="172" t="s">
        <v>165</v>
      </c>
      <c r="G23" s="178"/>
      <c r="H23" s="175"/>
      <c r="I23" s="178"/>
      <c r="J23" s="121"/>
      <c r="K23" s="168"/>
      <c r="L23" s="168"/>
      <c r="M23" s="168">
        <f t="shared" si="0"/>
        <v>0</v>
      </c>
      <c r="N23" s="135"/>
      <c r="P23" s="13"/>
      <c r="Q23" s="13"/>
    </row>
    <row r="24" spans="1:18" x14ac:dyDescent="0.3">
      <c r="A24" s="132"/>
      <c r="B24" s="15" t="s">
        <v>94</v>
      </c>
      <c r="C24" s="210">
        <v>6</v>
      </c>
      <c r="D24" s="122"/>
      <c r="E24" s="122"/>
      <c r="F24" s="172" t="s">
        <v>165</v>
      </c>
      <c r="G24" s="178"/>
      <c r="H24" s="175"/>
      <c r="I24" s="178"/>
      <c r="J24" s="121"/>
      <c r="K24" s="168"/>
      <c r="L24" s="168"/>
      <c r="M24" s="168">
        <f t="shared" si="0"/>
        <v>0</v>
      </c>
      <c r="N24" s="135"/>
      <c r="P24" s="13"/>
      <c r="Q24" s="13"/>
    </row>
    <row r="25" spans="1:18" x14ac:dyDescent="0.3">
      <c r="A25" s="132"/>
      <c r="B25" s="15" t="s">
        <v>162</v>
      </c>
      <c r="C25" s="84">
        <v>44</v>
      </c>
      <c r="D25" s="122"/>
      <c r="E25" s="122"/>
      <c r="F25" s="172" t="s">
        <v>165</v>
      </c>
      <c r="G25" s="178"/>
      <c r="H25" s="175"/>
      <c r="I25" s="178"/>
      <c r="J25" s="121"/>
      <c r="K25" s="168"/>
      <c r="L25" s="168"/>
      <c r="M25" s="168">
        <f t="shared" si="0"/>
        <v>0</v>
      </c>
      <c r="N25" s="135"/>
      <c r="P25" s="13"/>
      <c r="Q25" s="13"/>
    </row>
    <row r="26" spans="1:18" x14ac:dyDescent="0.3">
      <c r="A26" s="132"/>
      <c r="B26" s="122"/>
      <c r="C26" s="122"/>
      <c r="D26" s="122"/>
      <c r="E26" s="122"/>
      <c r="F26" s="172" t="s">
        <v>165</v>
      </c>
      <c r="G26" s="178"/>
      <c r="H26" s="175"/>
      <c r="I26" s="178"/>
      <c r="J26" s="121"/>
      <c r="K26" s="265"/>
      <c r="L26" s="265"/>
      <c r="M26" s="265">
        <f t="shared" si="0"/>
        <v>0</v>
      </c>
      <c r="N26" s="135"/>
      <c r="P26" s="13"/>
      <c r="Q26" s="13"/>
    </row>
    <row r="27" spans="1:18" x14ac:dyDescent="0.3">
      <c r="A27" s="132"/>
      <c r="B27" s="127" t="s">
        <v>155</v>
      </c>
      <c r="C27" s="120" t="s">
        <v>173</v>
      </c>
      <c r="D27" s="122"/>
      <c r="E27" s="122"/>
      <c r="F27" s="122"/>
      <c r="G27" s="122"/>
      <c r="H27" s="122"/>
      <c r="I27" s="122"/>
      <c r="J27" s="122"/>
      <c r="K27" s="122"/>
      <c r="L27" s="122"/>
      <c r="M27" s="122"/>
      <c r="N27" s="135"/>
      <c r="P27" s="13"/>
      <c r="Q27" s="13"/>
    </row>
    <row r="28" spans="1:18" x14ac:dyDescent="0.3">
      <c r="A28" s="132"/>
      <c r="B28" s="128"/>
      <c r="C28" s="15">
        <v>100</v>
      </c>
      <c r="D28" s="122"/>
      <c r="E28" s="122"/>
      <c r="F28" s="122"/>
      <c r="G28" s="122"/>
      <c r="H28" s="122"/>
      <c r="I28" s="122"/>
      <c r="J28" s="122"/>
      <c r="K28" s="122"/>
      <c r="L28" s="122"/>
      <c r="M28" s="122"/>
      <c r="N28" s="135"/>
      <c r="P28" s="13"/>
      <c r="Q28" s="13"/>
    </row>
    <row r="29" spans="1:18" x14ac:dyDescent="0.3">
      <c r="A29" s="132"/>
      <c r="B29" s="122"/>
      <c r="C29" s="122"/>
      <c r="D29" s="122"/>
      <c r="E29" s="122"/>
      <c r="F29" s="122"/>
      <c r="G29" s="122"/>
      <c r="H29" s="122"/>
      <c r="I29" s="122"/>
      <c r="J29" s="122"/>
      <c r="K29" s="122"/>
      <c r="L29" s="122"/>
      <c r="M29" s="122"/>
      <c r="N29" s="135"/>
      <c r="O29" s="13"/>
      <c r="P29" s="212"/>
      <c r="Q29" s="13"/>
    </row>
    <row r="30" spans="1:18" x14ac:dyDescent="0.3">
      <c r="A30" s="132"/>
      <c r="B30" s="145" t="s">
        <v>156</v>
      </c>
      <c r="C30" s="146"/>
      <c r="D30" s="147" t="s">
        <v>121</v>
      </c>
      <c r="E30" s="122"/>
      <c r="F30" s="122"/>
      <c r="G30" s="122"/>
      <c r="H30" s="122"/>
      <c r="I30" s="122"/>
      <c r="J30" s="122"/>
      <c r="K30" s="122"/>
      <c r="L30" s="122"/>
      <c r="M30" s="122"/>
      <c r="N30" s="135"/>
    </row>
    <row r="31" spans="1:18" x14ac:dyDescent="0.3">
      <c r="A31" s="132"/>
      <c r="B31" s="15" t="s">
        <v>158</v>
      </c>
      <c r="C31" s="124" t="s">
        <v>157</v>
      </c>
      <c r="D31" s="15" t="s">
        <v>202</v>
      </c>
      <c r="E31" s="122"/>
      <c r="F31" s="122"/>
      <c r="G31" s="122"/>
      <c r="H31" s="122"/>
      <c r="I31" s="122"/>
      <c r="J31" s="122"/>
      <c r="K31" s="122"/>
      <c r="L31" s="122"/>
      <c r="M31" s="122"/>
      <c r="N31" s="135"/>
    </row>
    <row r="32" spans="1:18" x14ac:dyDescent="0.3">
      <c r="A32" s="132"/>
      <c r="B32" s="15" t="s">
        <v>159</v>
      </c>
      <c r="C32" s="124">
        <v>1</v>
      </c>
      <c r="D32" s="15" t="s">
        <v>131</v>
      </c>
      <c r="E32" s="122"/>
      <c r="F32" s="122"/>
      <c r="G32" s="122"/>
      <c r="H32" s="122"/>
      <c r="I32" s="122"/>
      <c r="J32" s="122"/>
      <c r="K32" s="122"/>
      <c r="L32" s="122"/>
      <c r="M32" s="122"/>
      <c r="N32" s="135"/>
      <c r="P32" s="13"/>
      <c r="Q32" s="13"/>
    </row>
    <row r="33" spans="1:17" ht="28.8" x14ac:dyDescent="0.3">
      <c r="A33" s="132"/>
      <c r="B33" s="125" t="s">
        <v>172</v>
      </c>
      <c r="C33" s="126">
        <v>2000</v>
      </c>
      <c r="D33" s="125" t="s">
        <v>174</v>
      </c>
      <c r="E33" s="122"/>
      <c r="F33" s="122"/>
      <c r="G33" s="122"/>
      <c r="H33" s="122"/>
      <c r="I33" s="122"/>
      <c r="J33" s="122"/>
      <c r="K33" s="122"/>
      <c r="L33" s="122"/>
      <c r="M33" s="122"/>
      <c r="N33" s="135"/>
      <c r="O33" s="101"/>
      <c r="P33" s="101"/>
      <c r="Q33" s="101"/>
    </row>
    <row r="34" spans="1:17" x14ac:dyDescent="0.3">
      <c r="A34" s="122"/>
      <c r="B34" s="122"/>
      <c r="C34" s="122"/>
      <c r="D34" s="122"/>
      <c r="E34" s="122"/>
      <c r="F34" s="122"/>
      <c r="G34" s="122"/>
      <c r="H34" s="122"/>
      <c r="I34" s="122"/>
      <c r="J34" s="122"/>
      <c r="K34" s="122"/>
      <c r="L34" s="122"/>
      <c r="M34" s="122"/>
      <c r="N34" s="135"/>
      <c r="O34" s="101"/>
      <c r="P34" s="101"/>
      <c r="Q34" s="101"/>
    </row>
    <row r="35" spans="1:17" x14ac:dyDescent="0.3">
      <c r="A35" s="122"/>
      <c r="B35" s="122"/>
      <c r="C35" s="122"/>
      <c r="D35" s="122"/>
      <c r="E35" s="122"/>
      <c r="F35" s="122"/>
      <c r="G35" s="122"/>
      <c r="H35" s="122"/>
      <c r="I35" s="122"/>
      <c r="J35" s="122"/>
      <c r="K35" s="122"/>
      <c r="L35" s="122"/>
      <c r="M35" s="122"/>
      <c r="N35" s="135"/>
      <c r="O35" s="101"/>
      <c r="P35" s="101"/>
      <c r="Q35" s="101"/>
    </row>
    <row r="36" spans="1:17" x14ac:dyDescent="0.3">
      <c r="A36" s="122"/>
      <c r="B36" s="103" t="s">
        <v>236</v>
      </c>
      <c r="C36" s="120" t="s">
        <v>237</v>
      </c>
      <c r="D36" s="122"/>
      <c r="E36" s="122"/>
      <c r="F36" s="122"/>
      <c r="G36" s="122"/>
      <c r="H36" s="122"/>
      <c r="I36" s="122"/>
      <c r="J36" s="122"/>
      <c r="K36" s="122"/>
      <c r="L36" s="122"/>
      <c r="M36" s="122"/>
      <c r="N36" s="135"/>
      <c r="O36" s="101"/>
      <c r="P36" s="101"/>
      <c r="Q36" s="101"/>
    </row>
    <row r="37" spans="1:17" x14ac:dyDescent="0.3">
      <c r="A37" s="122"/>
      <c r="B37" s="15" t="s">
        <v>240</v>
      </c>
      <c r="C37" s="84">
        <v>40</v>
      </c>
      <c r="D37" s="122"/>
      <c r="E37" s="122"/>
      <c r="F37" s="122"/>
      <c r="G37" s="122"/>
      <c r="H37" s="122"/>
      <c r="I37" s="122"/>
      <c r="J37" s="122"/>
      <c r="K37" s="122"/>
      <c r="L37" s="122"/>
      <c r="M37" s="122"/>
      <c r="N37" s="135"/>
      <c r="O37" s="101"/>
      <c r="P37" s="101"/>
      <c r="Q37" s="101"/>
    </row>
    <row r="38" spans="1:17" x14ac:dyDescent="0.3">
      <c r="A38" s="122"/>
      <c r="B38" s="15" t="s">
        <v>241</v>
      </c>
      <c r="C38" s="84">
        <v>55</v>
      </c>
      <c r="D38" s="122"/>
      <c r="E38" s="122"/>
      <c r="F38" s="122"/>
      <c r="G38" s="122"/>
      <c r="H38" s="122"/>
      <c r="I38" s="122"/>
      <c r="J38" s="122"/>
      <c r="K38" s="122"/>
      <c r="L38" s="122"/>
      <c r="M38" s="122"/>
      <c r="N38" s="135"/>
      <c r="O38" s="101"/>
      <c r="P38" s="101"/>
      <c r="Q38" s="101"/>
    </row>
    <row r="39" spans="1:17" x14ac:dyDescent="0.3">
      <c r="A39" s="122"/>
      <c r="B39" s="15" t="s">
        <v>242</v>
      </c>
      <c r="C39" s="84">
        <v>62</v>
      </c>
      <c r="D39" s="122"/>
      <c r="E39" s="122"/>
      <c r="F39" s="122"/>
      <c r="G39" s="122"/>
      <c r="H39" s="122"/>
      <c r="I39" s="122"/>
      <c r="J39" s="122"/>
      <c r="K39" s="122"/>
      <c r="L39" s="122"/>
      <c r="M39" s="122"/>
      <c r="N39" s="135"/>
      <c r="O39" s="101"/>
      <c r="P39" s="101"/>
      <c r="Q39" s="101"/>
    </row>
    <row r="40" spans="1:17" x14ac:dyDescent="0.3">
      <c r="A40" s="122"/>
      <c r="B40" s="15" t="s">
        <v>245</v>
      </c>
      <c r="C40" s="84">
        <v>65</v>
      </c>
      <c r="D40" s="122"/>
      <c r="E40" s="122"/>
      <c r="F40" s="122"/>
      <c r="G40" s="122"/>
      <c r="H40" s="122"/>
      <c r="I40" s="122"/>
      <c r="J40" s="122"/>
      <c r="K40" s="122"/>
      <c r="L40" s="122"/>
      <c r="M40" s="122"/>
      <c r="N40" s="135"/>
      <c r="O40" s="101"/>
      <c r="P40" s="101"/>
      <c r="Q40" s="101"/>
    </row>
    <row r="41" spans="1:17" x14ac:dyDescent="0.3">
      <c r="A41" s="122"/>
      <c r="B41" s="15" t="s">
        <v>243</v>
      </c>
      <c r="C41" s="84">
        <v>48</v>
      </c>
      <c r="D41" s="122"/>
      <c r="E41" s="122"/>
      <c r="F41" s="122"/>
      <c r="G41" s="122"/>
      <c r="H41" s="122"/>
      <c r="I41" s="122"/>
      <c r="J41" s="122"/>
      <c r="K41" s="122"/>
      <c r="L41" s="122"/>
      <c r="M41" s="122"/>
      <c r="N41" s="135"/>
      <c r="O41" s="101"/>
      <c r="P41" s="101"/>
      <c r="Q41" s="101"/>
    </row>
    <row r="42" spans="1:17" x14ac:dyDescent="0.3">
      <c r="A42" s="122"/>
      <c r="B42" s="15" t="s">
        <v>244</v>
      </c>
      <c r="C42" s="84">
        <v>50</v>
      </c>
      <c r="D42" s="122"/>
      <c r="E42" s="122"/>
      <c r="F42" s="122"/>
      <c r="G42" s="122"/>
      <c r="H42" s="122"/>
      <c r="I42" s="122"/>
      <c r="J42" s="122"/>
      <c r="K42" s="122"/>
      <c r="L42" s="122"/>
      <c r="M42" s="122"/>
      <c r="N42" s="135"/>
      <c r="O42" s="101"/>
      <c r="P42" s="101"/>
      <c r="Q42" s="101"/>
    </row>
    <row r="43" spans="1:17" x14ac:dyDescent="0.3">
      <c r="A43" s="122"/>
      <c r="B43" s="122"/>
      <c r="C43" s="122"/>
      <c r="D43" s="122"/>
      <c r="E43" s="122"/>
      <c r="F43" s="122"/>
      <c r="G43" s="122"/>
      <c r="H43" s="122"/>
      <c r="I43" s="122"/>
      <c r="J43" s="122"/>
      <c r="K43" s="122"/>
      <c r="L43" s="122"/>
      <c r="M43" s="122"/>
      <c r="N43" s="135"/>
      <c r="O43" s="101"/>
      <c r="P43" s="101"/>
      <c r="Q43" s="101"/>
    </row>
    <row r="44" spans="1:17" x14ac:dyDescent="0.3">
      <c r="A44" s="122"/>
      <c r="B44" s="122"/>
      <c r="C44" s="122"/>
      <c r="D44" s="122"/>
      <c r="E44" s="122"/>
      <c r="F44" s="122"/>
      <c r="G44" s="122"/>
      <c r="H44" s="122"/>
      <c r="I44" s="122"/>
      <c r="J44" s="122"/>
      <c r="K44" s="122"/>
      <c r="L44" s="122"/>
      <c r="M44" s="122"/>
      <c r="N44" s="135"/>
      <c r="O44" s="101"/>
      <c r="P44" s="101"/>
      <c r="Q44" s="101"/>
    </row>
    <row r="45" spans="1:17" x14ac:dyDescent="0.3">
      <c r="A45" s="122"/>
      <c r="B45" s="103" t="s">
        <v>252</v>
      </c>
      <c r="C45" s="120" t="s">
        <v>237</v>
      </c>
      <c r="D45" s="122"/>
      <c r="E45" s="122"/>
      <c r="F45" s="122"/>
      <c r="G45" s="122"/>
      <c r="H45" s="122"/>
      <c r="I45" s="122"/>
      <c r="J45" s="122"/>
      <c r="K45" s="122"/>
      <c r="L45" s="122"/>
      <c r="M45" s="122"/>
      <c r="N45" s="135"/>
      <c r="O45" s="101"/>
      <c r="P45" s="101"/>
      <c r="Q45" s="101"/>
    </row>
    <row r="46" spans="1:17" x14ac:dyDescent="0.3">
      <c r="A46" s="122"/>
      <c r="B46" s="15" t="s">
        <v>240</v>
      </c>
      <c r="C46" s="84">
        <v>40</v>
      </c>
      <c r="D46" s="122"/>
      <c r="E46" s="122"/>
      <c r="F46" s="122"/>
      <c r="G46" s="122"/>
      <c r="H46" s="122"/>
      <c r="I46" s="122"/>
      <c r="J46" s="122"/>
      <c r="K46" s="122"/>
      <c r="L46" s="122"/>
      <c r="M46" s="122"/>
      <c r="N46" s="135"/>
      <c r="O46" s="101"/>
      <c r="P46" s="101"/>
      <c r="Q46" s="101"/>
    </row>
    <row r="47" spans="1:17" x14ac:dyDescent="0.3">
      <c r="A47" s="122"/>
      <c r="B47" s="15" t="s">
        <v>241</v>
      </c>
      <c r="C47" s="84">
        <v>55</v>
      </c>
      <c r="D47" s="122"/>
      <c r="E47" s="122"/>
      <c r="F47" s="122"/>
      <c r="G47" s="122"/>
      <c r="H47" s="122"/>
      <c r="I47" s="122"/>
      <c r="J47" s="122"/>
      <c r="K47" s="122"/>
      <c r="L47" s="122"/>
      <c r="M47" s="122"/>
      <c r="N47" s="135"/>
      <c r="O47" s="101"/>
      <c r="P47" s="101"/>
      <c r="Q47" s="101"/>
    </row>
    <row r="48" spans="1:17" x14ac:dyDescent="0.3">
      <c r="A48" s="122"/>
      <c r="B48" s="15" t="s">
        <v>242</v>
      </c>
      <c r="C48" s="84">
        <v>62</v>
      </c>
      <c r="D48" s="122"/>
      <c r="E48" s="122"/>
      <c r="F48" s="122"/>
      <c r="G48" s="122"/>
      <c r="H48" s="122"/>
      <c r="I48" s="122"/>
      <c r="J48" s="122"/>
      <c r="K48" s="122"/>
      <c r="L48" s="122"/>
      <c r="M48" s="122"/>
      <c r="N48" s="135"/>
      <c r="O48" s="101"/>
      <c r="P48" s="101"/>
      <c r="Q48" s="101"/>
    </row>
    <row r="49" spans="1:25" x14ac:dyDescent="0.3">
      <c r="A49" s="122"/>
      <c r="B49" s="15" t="s">
        <v>245</v>
      </c>
      <c r="C49" s="84">
        <v>65</v>
      </c>
      <c r="D49" s="122"/>
      <c r="E49" s="122"/>
      <c r="F49" s="122"/>
      <c r="G49" s="122"/>
      <c r="H49" s="122"/>
      <c r="I49" s="122"/>
      <c r="J49" s="122"/>
      <c r="K49" s="122"/>
      <c r="L49" s="122"/>
      <c r="M49" s="122"/>
      <c r="N49" s="135"/>
      <c r="O49" s="101"/>
      <c r="P49" s="101"/>
      <c r="Q49" s="101"/>
    </row>
    <row r="50" spans="1:25" x14ac:dyDescent="0.3">
      <c r="A50" s="122"/>
      <c r="B50" s="15" t="s">
        <v>243</v>
      </c>
      <c r="C50" s="84">
        <v>48</v>
      </c>
      <c r="D50" s="122"/>
      <c r="E50" s="122"/>
      <c r="F50" s="122"/>
      <c r="G50" s="122"/>
      <c r="H50" s="122"/>
      <c r="I50" s="122"/>
      <c r="J50" s="122"/>
      <c r="K50" s="122"/>
      <c r="L50" s="122"/>
      <c r="M50" s="122"/>
      <c r="N50" s="135"/>
      <c r="O50" s="101"/>
      <c r="P50" s="101"/>
      <c r="Q50" s="101"/>
    </row>
    <row r="51" spans="1:25" x14ac:dyDescent="0.3">
      <c r="A51" s="122"/>
      <c r="B51" s="15" t="s">
        <v>244</v>
      </c>
      <c r="C51" s="84">
        <v>50</v>
      </c>
      <c r="D51" s="122"/>
      <c r="E51" s="122"/>
      <c r="F51" s="122"/>
      <c r="G51" s="122"/>
      <c r="H51" s="122"/>
      <c r="I51" s="122"/>
      <c r="J51" s="122"/>
      <c r="K51" s="122"/>
      <c r="L51" s="122"/>
      <c r="M51" s="122"/>
      <c r="N51" s="135"/>
      <c r="O51" s="101"/>
      <c r="P51" s="101"/>
      <c r="Q51" s="101"/>
    </row>
    <row r="52" spans="1:25" x14ac:dyDescent="0.3">
      <c r="A52" s="122"/>
      <c r="B52" s="122"/>
      <c r="C52" s="122"/>
      <c r="D52" s="122"/>
      <c r="E52" s="122"/>
      <c r="F52" s="122"/>
      <c r="G52" s="122"/>
      <c r="H52" s="122"/>
      <c r="I52" s="122"/>
      <c r="J52" s="122"/>
      <c r="K52" s="122"/>
      <c r="L52" s="122"/>
      <c r="M52" s="122"/>
      <c r="N52" s="135"/>
      <c r="O52" s="101"/>
      <c r="P52" s="101"/>
      <c r="Q52" s="101"/>
    </row>
    <row r="53" spans="1:25" x14ac:dyDescent="0.3">
      <c r="A53" s="122"/>
      <c r="B53" s="122"/>
      <c r="C53" s="122"/>
      <c r="D53" s="122"/>
      <c r="E53" s="122"/>
      <c r="F53" s="122"/>
      <c r="G53" s="122"/>
      <c r="H53" s="122"/>
      <c r="I53" s="122"/>
      <c r="J53" s="122"/>
      <c r="K53" s="122"/>
      <c r="L53" s="122"/>
      <c r="M53" s="122"/>
      <c r="N53" s="135"/>
      <c r="O53" s="101"/>
      <c r="P53" s="101"/>
      <c r="Q53" s="101"/>
    </row>
    <row r="54" spans="1:25" x14ac:dyDescent="0.3">
      <c r="A54" s="122"/>
      <c r="B54" s="122"/>
      <c r="C54" s="122"/>
      <c r="D54" s="122"/>
      <c r="E54" s="122"/>
      <c r="F54" s="122"/>
      <c r="G54" s="122"/>
      <c r="H54" s="122"/>
      <c r="I54" s="122"/>
      <c r="J54" s="122"/>
      <c r="K54" s="122"/>
      <c r="L54" s="122"/>
      <c r="M54" s="122"/>
      <c r="N54" s="135"/>
      <c r="O54" s="101"/>
      <c r="P54" s="101"/>
      <c r="Q54" s="101"/>
    </row>
    <row r="55" spans="1:25" x14ac:dyDescent="0.3">
      <c r="A55" s="122"/>
      <c r="B55" s="122"/>
      <c r="C55" s="122"/>
      <c r="D55" s="122"/>
      <c r="E55" s="122"/>
      <c r="F55" s="122"/>
      <c r="G55" s="122"/>
      <c r="H55" s="122"/>
      <c r="I55" s="122"/>
      <c r="J55" s="122"/>
      <c r="K55" s="122"/>
      <c r="L55" s="122"/>
      <c r="M55" s="122"/>
      <c r="N55" s="135"/>
      <c r="O55" s="101"/>
      <c r="P55" s="101"/>
      <c r="Q55" s="101"/>
    </row>
    <row r="56" spans="1:25" x14ac:dyDescent="0.3">
      <c r="A56" s="122"/>
      <c r="B56" s="122"/>
      <c r="C56" s="122"/>
      <c r="D56" s="122"/>
      <c r="E56" s="122"/>
      <c r="F56" s="122"/>
      <c r="G56" s="122"/>
      <c r="H56" s="122"/>
      <c r="I56" s="122"/>
      <c r="J56" s="122"/>
      <c r="K56" s="122"/>
      <c r="L56" s="122"/>
      <c r="M56" s="122"/>
      <c r="N56" s="135"/>
      <c r="O56" s="101"/>
      <c r="P56" s="101"/>
      <c r="Q56" s="101"/>
    </row>
    <row r="57" spans="1:25" ht="15" thickBot="1" x14ac:dyDescent="0.35">
      <c r="A57" s="136"/>
      <c r="B57" s="137"/>
      <c r="C57" s="137"/>
      <c r="D57" s="137"/>
      <c r="E57" s="137"/>
      <c r="F57" s="137"/>
      <c r="G57" s="137"/>
      <c r="H57" s="137"/>
      <c r="I57" s="137"/>
      <c r="J57" s="137"/>
      <c r="K57" s="137"/>
      <c r="L57" s="137"/>
      <c r="M57" s="137"/>
      <c r="N57" s="138"/>
      <c r="O57" s="13"/>
      <c r="P57" s="13"/>
      <c r="Q57" s="13"/>
    </row>
    <row r="58" spans="1:25" x14ac:dyDescent="0.3">
      <c r="I58" s="13"/>
      <c r="J58" s="13"/>
      <c r="K58" s="13"/>
      <c r="L58" s="13"/>
      <c r="M58" s="13"/>
      <c r="N58" s="13"/>
      <c r="O58" s="13"/>
      <c r="P58" s="13"/>
      <c r="Q58" s="13"/>
    </row>
    <row r="59" spans="1:25" x14ac:dyDescent="0.3">
      <c r="I59" s="13"/>
      <c r="J59" s="13"/>
      <c r="K59" s="13"/>
      <c r="L59" s="13"/>
      <c r="M59" s="13"/>
      <c r="N59" s="13"/>
      <c r="O59" s="13"/>
      <c r="P59" s="13"/>
      <c r="Q59" s="13"/>
    </row>
    <row r="60" spans="1:25" ht="33.6" customHeight="1" x14ac:dyDescent="0.3"/>
    <row r="63" spans="1:25" x14ac:dyDescent="0.3">
      <c r="B63" s="102"/>
      <c r="C63" s="13"/>
      <c r="D63" s="13"/>
      <c r="E63" s="13"/>
      <c r="Y63" s="13"/>
    </row>
    <row r="64" spans="1:25" x14ac:dyDescent="0.3">
      <c r="B64" s="102"/>
      <c r="C64" s="13"/>
      <c r="D64" s="13"/>
      <c r="E64" s="13"/>
    </row>
    <row r="65" spans="2:17" x14ac:dyDescent="0.3">
      <c r="B65" s="102"/>
      <c r="C65" s="13"/>
      <c r="D65" s="13"/>
      <c r="E65" s="13"/>
      <c r="O65" s="13"/>
      <c r="P65" s="13"/>
      <c r="Q65" s="13"/>
    </row>
    <row r="66" spans="2:17" x14ac:dyDescent="0.3">
      <c r="B66" s="13"/>
      <c r="C66" s="13"/>
      <c r="D66" s="13"/>
      <c r="E66" s="13"/>
      <c r="I66" s="13"/>
      <c r="J66" s="13"/>
      <c r="K66" s="13"/>
      <c r="L66" s="13"/>
      <c r="M66" s="13"/>
      <c r="N66" s="13"/>
      <c r="O66" s="13"/>
      <c r="P66" s="13"/>
      <c r="Q66" s="13"/>
    </row>
    <row r="67" spans="2:17" x14ac:dyDescent="0.3">
      <c r="B67" s="13"/>
      <c r="C67" s="13"/>
      <c r="D67" s="13"/>
      <c r="E67" s="13"/>
      <c r="F67" s="13"/>
      <c r="G67" s="13"/>
      <c r="H67" s="13"/>
      <c r="I67" s="13"/>
      <c r="J67" s="13"/>
      <c r="K67" s="13"/>
      <c r="L67" s="13"/>
      <c r="M67" s="13"/>
      <c r="N67" s="13"/>
      <c r="O67" s="13"/>
      <c r="P67" s="13"/>
      <c r="Q67" s="13"/>
    </row>
    <row r="68" spans="2:17" x14ac:dyDescent="0.3">
      <c r="B68" s="13"/>
      <c r="C68" s="13"/>
      <c r="D68" s="13"/>
      <c r="E68" s="13"/>
      <c r="F68" s="13"/>
      <c r="G68" s="13"/>
      <c r="H68" s="13"/>
    </row>
    <row r="70" spans="2:17" s="13" customFormat="1" x14ac:dyDescent="0.3">
      <c r="G70" s="23"/>
      <c r="H70" s="23"/>
    </row>
    <row r="71" spans="2:17" s="13" customFormat="1" x14ac:dyDescent="0.3">
      <c r="G71" s="23"/>
      <c r="H71" s="23"/>
    </row>
    <row r="72" spans="2:17" s="13" customFormat="1" x14ac:dyDescent="0.3">
      <c r="G72" s="23"/>
      <c r="H72" s="23"/>
    </row>
  </sheetData>
  <mergeCells count="1">
    <mergeCell ref="F3:I3"/>
  </mergeCells>
  <phoneticPr fontId="15"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E22" sqref="E22"/>
    </sheetView>
  </sheetViews>
  <sheetFormatPr baseColWidth="10" defaultRowHeight="14.4" x14ac:dyDescent="0.3"/>
  <sheetData>
    <row r="1" spans="1:1" x14ac:dyDescent="0.3">
      <c r="A1" s="13" t="s">
        <v>110</v>
      </c>
    </row>
    <row r="2" spans="1:1" x14ac:dyDescent="0.3">
      <c r="A2" t="s">
        <v>107</v>
      </c>
    </row>
    <row r="3" spans="1:1" x14ac:dyDescent="0.3">
      <c r="A3" t="s">
        <v>108</v>
      </c>
    </row>
    <row r="4" spans="1:1" x14ac:dyDescent="0.3">
      <c r="A4"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Business Case</vt:lpstr>
      <vt:lpstr>summary</vt:lpstr>
      <vt:lpstr>Price List</vt:lpstr>
      <vt:lpstr>Data (masquer)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dc:creator>
  <cp:lastModifiedBy>Sophie LEJEUNE</cp:lastModifiedBy>
  <dcterms:created xsi:type="dcterms:W3CDTF">2022-11-22T13:44:08Z</dcterms:created>
  <dcterms:modified xsi:type="dcterms:W3CDTF">2023-07-27T14:03:29Z</dcterms:modified>
</cp:coreProperties>
</file>